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Расчет нормативных затрат\Расчет нормативных затрат на 2026 г\Спорт\"/>
    </mc:Choice>
  </mc:AlternateContent>
  <bookViews>
    <workbookView xWindow="0" yWindow="0" windowWidth="30720" windowHeight="12936" firstSheet="4" activeTab="4"/>
  </bookViews>
  <sheets>
    <sheet name="ЦОДУК" sheetId="16" state="hidden" r:id="rId1"/>
    <sheet name="культура" sheetId="15" state="hidden" r:id="rId2"/>
    <sheet name="образов" sheetId="14" state="hidden" r:id="rId3"/>
    <sheet name="ЦТО" sheetId="8" state="hidden" r:id="rId4"/>
    <sheet name="СШ" sheetId="19" r:id="rId5"/>
    <sheet name="МСКУ" sheetId="20" state="hidden" r:id="rId6"/>
  </sheets>
  <definedNames>
    <definedName name="_xlnm.Print_Area" localSheetId="4">СШ!$A$1:$Y$16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W22" i="19" l="1"/>
  <c r="X22" i="19"/>
  <c r="V22" i="19"/>
  <c r="V18" i="19"/>
  <c r="R10" i="19"/>
  <c r="R8" i="19"/>
  <c r="R7" i="19"/>
  <c r="V9" i="19"/>
  <c r="P13" i="19" l="1"/>
  <c r="R11" i="19"/>
  <c r="V11" i="19" s="1"/>
  <c r="W11" i="19" s="1"/>
  <c r="X11" i="19" s="1"/>
  <c r="J18" i="19" l="1"/>
  <c r="I18" i="19"/>
  <c r="D18" i="19"/>
  <c r="M19" i="19"/>
  <c r="P19" i="19" s="1"/>
  <c r="M8" i="19"/>
  <c r="L8" i="19"/>
  <c r="F8" i="19"/>
  <c r="O8" i="19" s="1"/>
  <c r="O19" i="19" l="1"/>
  <c r="R19" i="19" s="1"/>
  <c r="V19" i="19" s="1"/>
  <c r="W19" i="19" s="1"/>
  <c r="X19" i="19" s="1"/>
  <c r="S22" i="19"/>
  <c r="T22" i="19"/>
  <c r="U22" i="19"/>
  <c r="U8" i="19" l="1"/>
  <c r="V8" i="19"/>
  <c r="W8" i="19" s="1"/>
  <c r="X8" i="19" s="1"/>
  <c r="F7" i="19"/>
  <c r="U11" i="19"/>
  <c r="O11" i="19" l="1"/>
  <c r="L7" i="19"/>
  <c r="P11" i="19"/>
  <c r="M20" i="19"/>
  <c r="M21" i="19"/>
  <c r="M18" i="19"/>
  <c r="P8" i="19" s="1"/>
  <c r="V7" i="19" l="1"/>
  <c r="O18" i="19"/>
  <c r="R18" i="19" s="1"/>
  <c r="W18" i="19" s="1"/>
  <c r="P18" i="19"/>
  <c r="P20" i="19"/>
  <c r="O20" i="19"/>
  <c r="R20" i="19" s="1"/>
  <c r="V20" i="19" s="1"/>
  <c r="W20" i="19" s="1"/>
  <c r="X20" i="19" s="1"/>
  <c r="O21" i="19"/>
  <c r="R21" i="19" s="1"/>
  <c r="V21" i="19" s="1"/>
  <c r="W21" i="19" s="1"/>
  <c r="X21" i="19" s="1"/>
  <c r="P21" i="19"/>
  <c r="P7" i="19"/>
  <c r="U7" i="19"/>
  <c r="O7" i="19"/>
  <c r="L10" i="19"/>
  <c r="F10" i="19"/>
  <c r="F9" i="19"/>
  <c r="Y5" i="20"/>
  <c r="Y6" i="15"/>
  <c r="W7" i="19" l="1"/>
  <c r="X18" i="19"/>
  <c r="R22" i="19"/>
  <c r="R9" i="19"/>
  <c r="R12" i="19" s="1"/>
  <c r="P9" i="19"/>
  <c r="P10" i="19"/>
  <c r="M7" i="19"/>
  <c r="M9" i="19"/>
  <c r="O9" i="19"/>
  <c r="M10" i="19"/>
  <c r="O10" i="19"/>
  <c r="F7" i="16"/>
  <c r="P7" i="16" s="1"/>
  <c r="L7" i="16"/>
  <c r="L5" i="15"/>
  <c r="M22" i="8"/>
  <c r="M21" i="8"/>
  <c r="J22" i="8"/>
  <c r="J21" i="8"/>
  <c r="J20" i="8"/>
  <c r="G22" i="8"/>
  <c r="Q22" i="8" s="1"/>
  <c r="G21" i="8"/>
  <c r="I5" i="14"/>
  <c r="X5" i="20"/>
  <c r="W5" i="20"/>
  <c r="V5" i="20"/>
  <c r="T5" i="20"/>
  <c r="S5" i="20"/>
  <c r="L4" i="20"/>
  <c r="F4" i="20"/>
  <c r="P4" i="20" s="1"/>
  <c r="X7" i="19" l="1"/>
  <c r="U10" i="19"/>
  <c r="V10" i="19"/>
  <c r="W10" i="19" s="1"/>
  <c r="X10" i="19" s="1"/>
  <c r="V21" i="8"/>
  <c r="W21" i="8" s="1"/>
  <c r="X21" i="8" s="1"/>
  <c r="Y21" i="8" s="1"/>
  <c r="U9" i="19"/>
  <c r="U12" i="19" s="1"/>
  <c r="M4" i="20"/>
  <c r="N22" i="8"/>
  <c r="P22" i="8"/>
  <c r="S22" i="8"/>
  <c r="V22" i="8"/>
  <c r="W22" i="8" s="1"/>
  <c r="X22" i="8" s="1"/>
  <c r="Y22" i="8" s="1"/>
  <c r="O4" i="20"/>
  <c r="N21" i="8"/>
  <c r="P21" i="8"/>
  <c r="Q21" i="8"/>
  <c r="S21" i="8"/>
  <c r="U7" i="16"/>
  <c r="M7" i="16"/>
  <c r="R7" i="16"/>
  <c r="R4" i="20"/>
  <c r="R5" i="20" s="1"/>
  <c r="U4" i="20"/>
  <c r="U5" i="20" s="1"/>
  <c r="Z5" i="20" s="1"/>
  <c r="V13" i="19" l="1"/>
  <c r="W9" i="19"/>
  <c r="V12" i="19"/>
  <c r="Z4" i="20"/>
  <c r="J16" i="8"/>
  <c r="F6" i="14"/>
  <c r="P6" i="14" s="1"/>
  <c r="F7" i="14"/>
  <c r="F5" i="14"/>
  <c r="G16" i="8"/>
  <c r="O7" i="16"/>
  <c r="M20" i="8"/>
  <c r="M13" i="8"/>
  <c r="G20" i="8"/>
  <c r="X9" i="19" l="1"/>
  <c r="X12" i="19" s="1"/>
  <c r="W12" i="19"/>
  <c r="P5" i="14"/>
  <c r="V20" i="8"/>
  <c r="W20" i="8" s="1"/>
  <c r="Z20" i="8" s="1"/>
  <c r="Q16" i="8"/>
  <c r="P20" i="8"/>
  <c r="Q20" i="8"/>
  <c r="N20" i="8"/>
  <c r="S20" i="8"/>
  <c r="G5" i="8"/>
  <c r="M5" i="8"/>
  <c r="L5" i="14"/>
  <c r="M5" i="14" s="1"/>
  <c r="X20" i="8" l="1"/>
  <c r="Y20" i="8" s="1"/>
  <c r="V5" i="8"/>
  <c r="N5" i="8"/>
  <c r="U5" i="14"/>
  <c r="R5" i="14"/>
  <c r="O5" i="14"/>
  <c r="Q5" i="8"/>
  <c r="W5" i="8"/>
  <c r="X5" i="8" s="1"/>
  <c r="Y5" i="8" s="1"/>
  <c r="S5" i="8"/>
  <c r="Q19" i="8"/>
  <c r="J19" i="8" l="1"/>
  <c r="S19" i="8" l="1"/>
  <c r="P19" i="8"/>
  <c r="N19" i="8"/>
  <c r="V19" i="8"/>
  <c r="W19" i="8" s="1"/>
  <c r="K7" i="14"/>
  <c r="Z19" i="8" l="1"/>
  <c r="X19" i="8"/>
  <c r="Y19" i="8" s="1"/>
  <c r="L6" i="14"/>
  <c r="M16" i="8"/>
  <c r="O6" i="14" l="1"/>
  <c r="U6" i="14"/>
  <c r="U7" i="14" s="1"/>
  <c r="P16" i="8"/>
  <c r="V16" i="8"/>
  <c r="W16" i="8" s="1"/>
  <c r="M6" i="14"/>
  <c r="R6" i="14"/>
  <c r="R7" i="14" s="1"/>
  <c r="L7" i="14"/>
  <c r="M17" i="8"/>
  <c r="G17" i="8"/>
  <c r="V18" i="14" l="1"/>
  <c r="Q17" i="8"/>
  <c r="P17" i="8"/>
  <c r="X16" i="8"/>
  <c r="M7" i="14"/>
  <c r="Y6" i="14"/>
  <c r="N17" i="8"/>
  <c r="S17" i="8"/>
  <c r="V17" i="8"/>
  <c r="Y16" i="8" l="1"/>
  <c r="W17" i="8"/>
  <c r="P7" i="14"/>
  <c r="O7" i="14"/>
  <c r="G18" i="8"/>
  <c r="X17" i="8" l="1"/>
  <c r="Z17" i="8"/>
  <c r="Q18" i="8"/>
  <c r="Q25" i="8" s="1"/>
  <c r="S16" i="8"/>
  <c r="N16" i="8"/>
  <c r="T23" i="8"/>
  <c r="U23" i="8"/>
  <c r="S6" i="15"/>
  <c r="T6" i="15"/>
  <c r="V6" i="15"/>
  <c r="W6" i="15"/>
  <c r="X6" i="15"/>
  <c r="T8" i="16"/>
  <c r="S8" i="16"/>
  <c r="Y17" i="8" l="1"/>
  <c r="J18" i="8"/>
  <c r="N18" i="8" l="1"/>
  <c r="N25" i="8" s="1"/>
  <c r="S25" i="8" s="1"/>
  <c r="V25" i="8" s="1"/>
  <c r="P18" i="8"/>
  <c r="P25" i="8" s="1"/>
  <c r="S18" i="8"/>
  <c r="V18" i="8"/>
  <c r="M9" i="8"/>
  <c r="G9" i="8"/>
  <c r="G14" i="8"/>
  <c r="G15" i="8"/>
  <c r="Q15" i="8" s="1"/>
  <c r="G6" i="8"/>
  <c r="G7" i="8"/>
  <c r="G8" i="8"/>
  <c r="G10" i="8"/>
  <c r="G11" i="8"/>
  <c r="G12" i="8"/>
  <c r="G13" i="8"/>
  <c r="P13" i="8" s="1"/>
  <c r="F6" i="16"/>
  <c r="P6" i="16" s="1"/>
  <c r="F5" i="16"/>
  <c r="L6" i="16"/>
  <c r="L5" i="16"/>
  <c r="F5" i="15"/>
  <c r="M6" i="8"/>
  <c r="M7" i="8"/>
  <c r="M8" i="8"/>
  <c r="M10" i="8"/>
  <c r="M11" i="8"/>
  <c r="M12" i="8"/>
  <c r="M14" i="8"/>
  <c r="M15" i="8"/>
  <c r="P5" i="15" l="1"/>
  <c r="O5" i="15"/>
  <c r="O7" i="15" s="1"/>
  <c r="P5" i="16"/>
  <c r="U5" i="16"/>
  <c r="O6" i="16"/>
  <c r="O5" i="16"/>
  <c r="W18" i="8"/>
  <c r="Z18" i="8" s="1"/>
  <c r="V14" i="8"/>
  <c r="W14" i="8" s="1"/>
  <c r="X14" i="8" s="1"/>
  <c r="Y14" i="8" s="1"/>
  <c r="S14" i="8"/>
  <c r="P12" i="8"/>
  <c r="N12" i="8"/>
  <c r="V10" i="8"/>
  <c r="W10" i="8" s="1"/>
  <c r="X10" i="8" s="1"/>
  <c r="Y10" i="8" s="1"/>
  <c r="V8" i="8"/>
  <c r="V7" i="8"/>
  <c r="V6" i="8"/>
  <c r="V12" i="8"/>
  <c r="W12" i="8" s="1"/>
  <c r="X12" i="8" s="1"/>
  <c r="Y12" i="8" s="1"/>
  <c r="V13" i="8"/>
  <c r="W13" i="8" s="1"/>
  <c r="X13" i="8" s="1"/>
  <c r="Y13" i="8" s="1"/>
  <c r="V11" i="8"/>
  <c r="W11" i="8" s="1"/>
  <c r="X11" i="8" s="1"/>
  <c r="Y11" i="8" s="1"/>
  <c r="S7" i="14"/>
  <c r="S8" i="14" s="1"/>
  <c r="Q12" i="8"/>
  <c r="Q10" i="8"/>
  <c r="P10" i="8"/>
  <c r="Q7" i="8"/>
  <c r="P7" i="8"/>
  <c r="P15" i="8"/>
  <c r="P5" i="8"/>
  <c r="P7" i="15"/>
  <c r="U5" i="15"/>
  <c r="Z5" i="15" s="1"/>
  <c r="Q13" i="8"/>
  <c r="Q11" i="8"/>
  <c r="P11" i="8"/>
  <c r="Q8" i="8"/>
  <c r="P8" i="8"/>
  <c r="Q6" i="8"/>
  <c r="P6" i="8"/>
  <c r="Q14" i="8"/>
  <c r="P14" i="8"/>
  <c r="Q9" i="8"/>
  <c r="P9" i="8"/>
  <c r="R5" i="16"/>
  <c r="M5" i="15"/>
  <c r="N9" i="8"/>
  <c r="Z5" i="8"/>
  <c r="M5" i="16"/>
  <c r="N10" i="8"/>
  <c r="N7" i="8"/>
  <c r="N15" i="8"/>
  <c r="N6" i="8"/>
  <c r="S6" i="8"/>
  <c r="M6" i="16"/>
  <c r="N13" i="8"/>
  <c r="N11" i="8"/>
  <c r="N8" i="8"/>
  <c r="N14" i="8"/>
  <c r="V9" i="8"/>
  <c r="U6" i="16"/>
  <c r="Z16" i="8"/>
  <c r="V15" i="8"/>
  <c r="W15" i="8" s="1"/>
  <c r="X15" i="8" s="1"/>
  <c r="Y15" i="8" s="1"/>
  <c r="S15" i="8"/>
  <c r="Z13" i="8"/>
  <c r="S9" i="8"/>
  <c r="S12" i="8"/>
  <c r="S10" i="8"/>
  <c r="S7" i="8"/>
  <c r="S13" i="8"/>
  <c r="S11" i="8"/>
  <c r="S8" i="8"/>
  <c r="R6" i="16"/>
  <c r="R5" i="15"/>
  <c r="R6" i="15" s="1"/>
  <c r="Q24" i="8" l="1"/>
  <c r="Z11" i="8"/>
  <c r="S23" i="8"/>
  <c r="P24" i="8"/>
  <c r="P26" i="8" s="1"/>
  <c r="N24" i="8"/>
  <c r="N26" i="8" s="1"/>
  <c r="W6" i="8"/>
  <c r="Z6" i="8" s="1"/>
  <c r="V23" i="8"/>
  <c r="X27" i="8" s="1"/>
  <c r="Z14" i="8"/>
  <c r="Z12" i="8"/>
  <c r="Z10" i="8"/>
  <c r="W9" i="8"/>
  <c r="X9" i="8" s="1"/>
  <c r="Y9" i="8" s="1"/>
  <c r="W8" i="8"/>
  <c r="X8" i="8" s="1"/>
  <c r="Y8" i="8" s="1"/>
  <c r="Y5" i="14"/>
  <c r="W7" i="8"/>
  <c r="X7" i="8" s="1"/>
  <c r="Y7" i="8" s="1"/>
  <c r="X18" i="8"/>
  <c r="Z15" i="8"/>
  <c r="Q26" i="8"/>
  <c r="U8" i="16"/>
  <c r="U8" i="14"/>
  <c r="V14" i="14" s="1"/>
  <c r="R8" i="16"/>
  <c r="Z8" i="16" s="1"/>
  <c r="T7" i="14"/>
  <c r="T8" i="14" s="1"/>
  <c r="R8" i="14"/>
  <c r="R17" i="14" s="1"/>
  <c r="Z6" i="16"/>
  <c r="U6" i="15"/>
  <c r="Z6" i="15" s="1"/>
  <c r="Z5" i="16"/>
  <c r="Z8" i="8" l="1"/>
  <c r="Z9" i="8"/>
  <c r="X6" i="8"/>
  <c r="W23" i="8"/>
  <c r="Z23" i="8" s="1"/>
  <c r="Z7" i="8"/>
  <c r="V7" i="14"/>
  <c r="Y18" i="8"/>
  <c r="S24" i="8"/>
  <c r="V24" i="8" s="1"/>
  <c r="Y6" i="8" l="1"/>
  <c r="Y23" i="8" s="1"/>
  <c r="X23" i="8"/>
  <c r="V8" i="14"/>
  <c r="Y8" i="14" s="1"/>
  <c r="Y7" i="14"/>
  <c r="X7" i="14"/>
  <c r="X8" i="14" s="1"/>
  <c r="W7" i="14"/>
  <c r="W8" i="14" s="1"/>
  <c r="S26" i="8"/>
  <c r="V26" i="8"/>
</calcChain>
</file>

<file path=xl/sharedStrings.xml><?xml version="1.0" encoding="utf-8"?>
<sst xmlns="http://schemas.openxmlformats.org/spreadsheetml/2006/main" count="274" uniqueCount="126">
  <si>
    <t>норма расхода топлива (средняя)</t>
  </si>
  <si>
    <t>планируемое количество пройденных километров в месяц</t>
  </si>
  <si>
    <t>наименование автотранспортного средства</t>
  </si>
  <si>
    <t>норма расхода топлива на 1час</t>
  </si>
  <si>
    <t>количество рабочих часов использования ТС в месяц</t>
  </si>
  <si>
    <t>планируемое количество часов использования ТС за год</t>
  </si>
  <si>
    <t>Сумма утвержденного плана</t>
  </si>
  <si>
    <t>кол-во месяцев по плану</t>
  </si>
  <si>
    <t>кол-во месяцев использования ТС (при расчете в часах)</t>
  </si>
  <si>
    <t>кол-во месяцев использования ТС (при расчете в км.)</t>
  </si>
  <si>
    <t>норма расхода топлива на 100 км. (летняя 6,5 мес)</t>
  </si>
  <si>
    <t>норма расхода топлива на 100 км.  (зимняя 5,5 мес)</t>
  </si>
  <si>
    <t>FIAT-Дукато К700ХУ</t>
  </si>
  <si>
    <t>ПАЗ 32050 М071ЕА</t>
  </si>
  <si>
    <t>ПАЗ 32053-60 А003СТ</t>
  </si>
  <si>
    <t>ГАЗ 32213 А067МН</t>
  </si>
  <si>
    <t>ПАЗ-32053-70 т 474 вм</t>
  </si>
  <si>
    <t>ГАЗ-3507        т 708 тн</t>
  </si>
  <si>
    <t>ПАЗ-32053-77       м 030 еа</t>
  </si>
  <si>
    <t>МТЗ-80           хо 31-37</t>
  </si>
  <si>
    <t>ПАЗ-3205        у 777 ту</t>
  </si>
  <si>
    <t>ПАЗ-32053-70 т 777 ук</t>
  </si>
  <si>
    <t>ПАЗ-32053 к 900 ху</t>
  </si>
  <si>
    <t>УАЗ-2206        м 945 кс</t>
  </si>
  <si>
    <t>ГАЗ-3307        т 376 нк</t>
  </si>
  <si>
    <t>Нормативы затрат на 2019</t>
  </si>
  <si>
    <t>итого</t>
  </si>
  <si>
    <t>наименование учреждения</t>
  </si>
  <si>
    <t>Отдел культуры администации г.Дивногорска</t>
  </si>
  <si>
    <t>Отдел образования администации г.Дивногорска</t>
  </si>
  <si>
    <t>ПАЗ-32053-70  н017нк</t>
  </si>
  <si>
    <t>аппарат</t>
  </si>
  <si>
    <t>опека</t>
  </si>
  <si>
    <t>ГАЗ 3102 М640КК</t>
  </si>
  <si>
    <t>планируемое количество литров в месяц</t>
  </si>
  <si>
    <t>МТЗ-82           кк1046</t>
  </si>
  <si>
    <t>автобус подвоз</t>
  </si>
  <si>
    <t>трактор</t>
  </si>
  <si>
    <t>самосвал</t>
  </si>
  <si>
    <t>легковой "Волга"</t>
  </si>
  <si>
    <t>микроавтобус</t>
  </si>
  <si>
    <t>грузовик</t>
  </si>
  <si>
    <t>Затраты на приобретение ГСМ (в 2017г)</t>
  </si>
  <si>
    <t>количество пройденных километров в месяц</t>
  </si>
  <si>
    <t xml:space="preserve"> количество литров в месяц</t>
  </si>
  <si>
    <t>МКУ  "ЦОДУК"</t>
  </si>
  <si>
    <t>ПАЗ-32053-70  е020ну</t>
  </si>
  <si>
    <t>Нормативы затрат на 2021</t>
  </si>
  <si>
    <t>ЛАДА Гранта Н041НК</t>
  </si>
  <si>
    <t>Затраты в месяц 2021г</t>
  </si>
  <si>
    <t>ваз 21074 р158со (мску)</t>
  </si>
  <si>
    <t>ВАЗ 21043 А984НВ (комплексный)</t>
  </si>
  <si>
    <t xml:space="preserve">ПАЗ 423470-04 г/н Е060ОТ (нов) д/т </t>
  </si>
  <si>
    <t xml:space="preserve">ГАЗ 322121 г/н Е016 ОТ (нов) </t>
  </si>
  <si>
    <t>Снегоход Тайга</t>
  </si>
  <si>
    <t>ГАЗ 3507         Н 288 ОВ</t>
  </si>
  <si>
    <t>Нормативы затрат на 2022</t>
  </si>
  <si>
    <t>Нормативы затрат на 2023</t>
  </si>
  <si>
    <t>излишек</t>
  </si>
  <si>
    <t>на запчасти</t>
  </si>
  <si>
    <t>выделено  на 2021</t>
  </si>
  <si>
    <t>выделено</t>
  </si>
  <si>
    <t>МКУ "ЦТО"</t>
  </si>
  <si>
    <t>отдел</t>
  </si>
  <si>
    <t>ГСМ договора 2019</t>
  </si>
  <si>
    <t>ГСМ договора 2020</t>
  </si>
  <si>
    <t>ГАЗ 3110 А418АА24</t>
  </si>
  <si>
    <t>МСКУ "МЦБ"</t>
  </si>
  <si>
    <t>Расчет нормативных затрат на горюче-смазочные материалы 2022 годы</t>
  </si>
  <si>
    <t>цена 1 литра ГСМ 2022г</t>
  </si>
  <si>
    <t>Затраты в месяц 2022г</t>
  </si>
  <si>
    <t>Затраты на приобретение ГСМ (на 2022 год)</t>
  </si>
  <si>
    <t>средняя цена 1 литра ГСМ 2022г</t>
  </si>
  <si>
    <t xml:space="preserve">Затраты в месяц 2022г </t>
  </si>
  <si>
    <t>ПАЗ 32053-70 г/н М699РН</t>
  </si>
  <si>
    <t>ПАЗ 4234 70 г/н У777ТУ</t>
  </si>
  <si>
    <t xml:space="preserve">средняя цена 1 литра ГСМ 2022 год </t>
  </si>
  <si>
    <t>Затраты в месяц 2022 год</t>
  </si>
  <si>
    <t xml:space="preserve">цена 1 литра ГСМ 2022 год </t>
  </si>
  <si>
    <t>Затраты в месяц по фактич цене на 2022 г</t>
  </si>
  <si>
    <t>Затраты на приобретение ГСМ (в2022году)</t>
  </si>
  <si>
    <t>количество пройденных километров за 1 полугодие 2022 год</t>
  </si>
  <si>
    <t>Фактические расходы ГСМ за 1 полугодие 2022г</t>
  </si>
  <si>
    <t>Затраты на приобретение ГСМ в 2022 году</t>
  </si>
  <si>
    <t>Нормативы затрат на 2022 г.</t>
  </si>
  <si>
    <t>Нормативы затрат на 2023 г.</t>
  </si>
  <si>
    <t>Нормативы затрат на 2024</t>
  </si>
  <si>
    <t>Нормативы затрат на 2024 г.</t>
  </si>
  <si>
    <t xml:space="preserve">Приложение № </t>
  </si>
  <si>
    <t>к Приказу от         №</t>
  </si>
  <si>
    <t>Фактический расход смазочных материалов за 10 мес 2024г.</t>
  </si>
  <si>
    <t>Жидкость тормозная</t>
  </si>
  <si>
    <t>кол-во</t>
  </si>
  <si>
    <t>сумма</t>
  </si>
  <si>
    <t>Нагреватель "Kerona"</t>
  </si>
  <si>
    <t>х</t>
  </si>
  <si>
    <t>Затраты на приобретение ГСМ на 2025 год</t>
  </si>
  <si>
    <t>Смазка</t>
  </si>
  <si>
    <t>Присадка</t>
  </si>
  <si>
    <t>Итого</t>
  </si>
  <si>
    <t>Нормативы затрат на 2026</t>
  </si>
  <si>
    <t>Нормативы затрат на 2027</t>
  </si>
  <si>
    <t>МБУ ДО "Спортивная школа ЦФСР"</t>
  </si>
  <si>
    <t>Масло моторное (гидравлическое)</t>
  </si>
  <si>
    <t>Тосол (антифриз)</t>
  </si>
  <si>
    <t>Кол-во месяцев по плану</t>
  </si>
  <si>
    <t>Планируемое количество литров в месяц</t>
  </si>
  <si>
    <t>Количество пройденных километров в месяц</t>
  </si>
  <si>
    <t>Кол-во месяцев использования ТС (при расчете в км.)</t>
  </si>
  <si>
    <t>Количество рабочих часов использования ТС в месяц</t>
  </si>
  <si>
    <t>Планируемое количество часов использования ТС за год</t>
  </si>
  <si>
    <t xml:space="preserve">Расчет нормативных затрат на 2026 год на горюче-смазочные материалы по учреждениям подведомственным отделу физической культуре, спорта и молодежной политики администрпации города г.Дивногорска </t>
  </si>
  <si>
    <t>ПАЗ-320475-04</t>
  </si>
  <si>
    <t xml:space="preserve"> Кол-во пройденных километров за 12 мес 2025 г.</t>
  </si>
  <si>
    <t>Средняя цена 1 литра ГСМ 2025 г.</t>
  </si>
  <si>
    <t>Затраты в месяц 2025 г.</t>
  </si>
  <si>
    <t>Фактические расходы ГСМ за 12 месяцев 2025 г.</t>
  </si>
  <si>
    <t>Фактические расходы ГСМ за 2025 г.</t>
  </si>
  <si>
    <t>Цена 1 литра ГСМ 2025 г.</t>
  </si>
  <si>
    <t>Затраты в месяц 2025 г</t>
  </si>
  <si>
    <t>Нормативы затрат на 2028</t>
  </si>
  <si>
    <t>цена 1 литра ГСМ 2026 г.</t>
  </si>
  <si>
    <t>Затраты в месяц 2026 г.</t>
  </si>
  <si>
    <t xml:space="preserve">Нормативы затрат на 2026 </t>
  </si>
  <si>
    <t>Нормативы затрат на 2027.</t>
  </si>
  <si>
    <t>Нормативы затрат на 2028.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</si>
</sst>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color theme="3" tint="0.3999755851924192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4" fontId="2" fillId="2" borderId="1" xfId="0" applyNumberFormat="1" applyFont="1" applyFill="1" applyBorder="1" applyAlignment="1">
      <alignment horizontal="center" wrapText="1"/>
    </xf>
    <xf numFmtId="4" fontId="2" fillId="2" borderId="1" xfId="0" applyNumberFormat="1" applyFont="1" applyFill="1" applyBorder="1" applyAlignment="1">
      <alignment wrapText="1"/>
    </xf>
    <xf numFmtId="4" fontId="2" fillId="2" borderId="0" xfId="0" applyNumberFormat="1" applyFont="1" applyFill="1" applyAlignment="1">
      <alignment wrapText="1"/>
    </xf>
    <xf numFmtId="2" fontId="2" fillId="2" borderId="1" xfId="0" applyNumberFormat="1" applyFont="1" applyFill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0" xfId="0" applyNumberFormat="1" applyFont="1" applyFill="1" applyAlignment="1">
      <alignment wrapText="1"/>
    </xf>
    <xf numFmtId="2" fontId="2" fillId="0" borderId="0" xfId="0" applyNumberFormat="1" applyFont="1" applyAlignment="1">
      <alignment wrapText="1"/>
    </xf>
    <xf numFmtId="164" fontId="2" fillId="0" borderId="1" xfId="0" applyNumberFormat="1" applyFont="1" applyBorder="1" applyAlignment="1">
      <alignment wrapText="1"/>
    </xf>
    <xf numFmtId="4" fontId="2" fillId="0" borderId="1" xfId="0" applyNumberFormat="1" applyFont="1" applyBorder="1" applyAlignment="1">
      <alignment wrapText="1"/>
    </xf>
    <xf numFmtId="1" fontId="2" fillId="0" borderId="1" xfId="0" applyNumberFormat="1" applyFont="1" applyBorder="1" applyAlignment="1">
      <alignment wrapText="1"/>
    </xf>
    <xf numFmtId="0" fontId="5" fillId="0" borderId="2" xfId="0" applyFont="1" applyBorder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0" fontId="3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right" wrapText="1"/>
    </xf>
    <xf numFmtId="2" fontId="1" fillId="2" borderId="1" xfId="0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vertical="center" wrapText="1"/>
    </xf>
    <xf numFmtId="2" fontId="2" fillId="2" borderId="5" xfId="0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wrapText="1"/>
    </xf>
    <xf numFmtId="2" fontId="2" fillId="2" borderId="0" xfId="0" applyNumberFormat="1" applyFont="1" applyFill="1" applyAlignment="1">
      <alignment wrapText="1"/>
    </xf>
    <xf numFmtId="4" fontId="2" fillId="4" borderId="0" xfId="0" applyNumberFormat="1" applyFont="1" applyFill="1" applyAlignment="1">
      <alignment wrapText="1"/>
    </xf>
    <xf numFmtId="2" fontId="2" fillId="3" borderId="0" xfId="0" applyNumberFormat="1" applyFont="1" applyFill="1" applyAlignment="1">
      <alignment wrapText="1"/>
    </xf>
    <xf numFmtId="0" fontId="2" fillId="3" borderId="0" xfId="0" applyFont="1" applyFill="1" applyAlignment="1">
      <alignment wrapText="1"/>
    </xf>
    <xf numFmtId="0" fontId="1" fillId="5" borderId="1" xfId="0" applyFont="1" applyFill="1" applyBorder="1" applyAlignment="1">
      <alignment horizontal="center" wrapText="1"/>
    </xf>
    <xf numFmtId="2" fontId="2" fillId="5" borderId="1" xfId="0" applyNumberFormat="1" applyFont="1" applyFill="1" applyBorder="1" applyAlignment="1">
      <alignment wrapText="1"/>
    </xf>
    <xf numFmtId="4" fontId="2" fillId="0" borderId="0" xfId="0" applyNumberFormat="1" applyFont="1" applyAlignment="1">
      <alignment wrapText="1"/>
    </xf>
    <xf numFmtId="4" fontId="2" fillId="3" borderId="8" xfId="0" applyNumberFormat="1" applyFont="1" applyFill="1" applyBorder="1" applyAlignment="1">
      <alignment wrapText="1"/>
    </xf>
    <xf numFmtId="4" fontId="2" fillId="3" borderId="0" xfId="0" applyNumberFormat="1" applyFont="1" applyFill="1" applyAlignment="1">
      <alignment wrapText="1"/>
    </xf>
    <xf numFmtId="0" fontId="5" fillId="0" borderId="3" xfId="0" applyFont="1" applyBorder="1" applyAlignment="1">
      <alignment horizontal="right" wrapText="1"/>
    </xf>
    <xf numFmtId="0" fontId="2" fillId="5" borderId="0" xfId="0" applyFont="1" applyFill="1" applyAlignment="1">
      <alignment wrapText="1"/>
    </xf>
    <xf numFmtId="2" fontId="1" fillId="5" borderId="1" xfId="0" applyNumberFormat="1" applyFont="1" applyFill="1" applyBorder="1" applyAlignment="1">
      <alignment horizontal="right" wrapText="1"/>
    </xf>
    <xf numFmtId="2" fontId="2" fillId="6" borderId="1" xfId="0" applyNumberFormat="1" applyFont="1" applyFill="1" applyBorder="1" applyAlignment="1">
      <alignment wrapText="1"/>
    </xf>
    <xf numFmtId="2" fontId="2" fillId="5" borderId="9" xfId="0" applyNumberFormat="1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Fill="1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2" fillId="2" borderId="1" xfId="0" applyNumberFormat="1" applyFont="1" applyFill="1" applyBorder="1" applyAlignment="1">
      <alignment vertical="center" wrapText="1"/>
    </xf>
    <xf numFmtId="2" fontId="5" fillId="0" borderId="3" xfId="0" applyNumberFormat="1" applyFont="1" applyBorder="1" applyAlignment="1">
      <alignment horizontal="right" wrapText="1"/>
    </xf>
    <xf numFmtId="0" fontId="2" fillId="7" borderId="0" xfId="0" applyFont="1" applyFill="1" applyAlignment="1">
      <alignment wrapText="1"/>
    </xf>
    <xf numFmtId="4" fontId="2" fillId="7" borderId="0" xfId="0" applyNumberFormat="1" applyFont="1" applyFill="1" applyAlignment="1">
      <alignment wrapText="1"/>
    </xf>
    <xf numFmtId="0" fontId="2" fillId="0" borderId="10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8" fillId="0" borderId="5" xfId="0" applyFont="1" applyBorder="1" applyAlignment="1">
      <alignment wrapText="1"/>
    </xf>
    <xf numFmtId="2" fontId="2" fillId="2" borderId="5" xfId="0" applyNumberFormat="1" applyFont="1" applyFill="1" applyBorder="1" applyAlignment="1">
      <alignment wrapText="1"/>
    </xf>
    <xf numFmtId="0" fontId="8" fillId="0" borderId="9" xfId="0" applyFont="1" applyBorder="1" applyAlignment="1">
      <alignment wrapText="1"/>
    </xf>
    <xf numFmtId="0" fontId="8" fillId="0" borderId="9" xfId="0" applyFont="1" applyFill="1" applyBorder="1" applyAlignment="1">
      <alignment wrapText="1"/>
    </xf>
    <xf numFmtId="0" fontId="2" fillId="0" borderId="9" xfId="0" applyFont="1" applyBorder="1" applyAlignment="1">
      <alignment wrapText="1"/>
    </xf>
    <xf numFmtId="2" fontId="2" fillId="5" borderId="5" xfId="0" applyNumberFormat="1" applyFont="1" applyFill="1" applyBorder="1" applyAlignment="1">
      <alignment wrapText="1"/>
    </xf>
    <xf numFmtId="0" fontId="2" fillId="0" borderId="11" xfId="0" applyFont="1" applyBorder="1" applyAlignment="1">
      <alignment wrapText="1"/>
    </xf>
    <xf numFmtId="4" fontId="2" fillId="2" borderId="5" xfId="0" applyNumberFormat="1" applyFont="1" applyFill="1" applyBorder="1" applyAlignment="1">
      <alignment wrapText="1"/>
    </xf>
    <xf numFmtId="2" fontId="2" fillId="0" borderId="5" xfId="0" applyNumberFormat="1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6" fillId="0" borderId="0" xfId="0" applyFont="1"/>
    <xf numFmtId="0" fontId="6" fillId="3" borderId="0" xfId="0" applyFont="1" applyFill="1"/>
    <xf numFmtId="0" fontId="6" fillId="3" borderId="0" xfId="0" applyFont="1" applyFill="1" applyAlignment="1">
      <alignment wrapText="1"/>
    </xf>
    <xf numFmtId="4" fontId="6" fillId="3" borderId="0" xfId="0" applyNumberFormat="1" applyFont="1" applyFill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4" fontId="6" fillId="3" borderId="0" xfId="0" applyNumberFormat="1" applyFont="1" applyFill="1"/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3" borderId="5" xfId="0" applyNumberFormat="1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3" fontId="6" fillId="3" borderId="1" xfId="0" applyNumberFormat="1" applyFont="1" applyFill="1" applyBorder="1" applyAlignment="1">
      <alignment horizontal="center" vertical="center" wrapText="1"/>
    </xf>
    <xf numFmtId="3" fontId="6" fillId="3" borderId="1" xfId="0" applyNumberFormat="1" applyFont="1" applyFill="1" applyBorder="1" applyAlignment="1">
      <alignment horizontal="center" vertical="center"/>
    </xf>
    <xf numFmtId="0" fontId="6" fillId="0" borderId="0" xfId="0" applyFont="1" applyBorder="1"/>
    <xf numFmtId="4" fontId="6" fillId="3" borderId="0" xfId="0" applyNumberFormat="1" applyFont="1" applyFill="1" applyAlignment="1">
      <alignment vertical="center"/>
    </xf>
    <xf numFmtId="4" fontId="9" fillId="3" borderId="1" xfId="0" applyNumberFormat="1" applyFont="1" applyFill="1" applyBorder="1" applyAlignment="1">
      <alignment horizontal="center" wrapText="1"/>
    </xf>
    <xf numFmtId="0" fontId="10" fillId="0" borderId="0" xfId="0" applyFont="1"/>
    <xf numFmtId="0" fontId="9" fillId="0" borderId="0" xfId="0" applyFont="1" applyAlignment="1">
      <alignment wrapText="1"/>
    </xf>
    <xf numFmtId="17" fontId="10" fillId="0" borderId="0" xfId="0" applyNumberFormat="1" applyFont="1" applyAlignment="1">
      <alignment horizontal="center" vertical="center"/>
    </xf>
    <xf numFmtId="0" fontId="10" fillId="3" borderId="0" xfId="0" applyFont="1" applyFill="1"/>
    <xf numFmtId="0" fontId="10" fillId="3" borderId="0" xfId="0" applyFont="1" applyFill="1" applyBorder="1"/>
    <xf numFmtId="0" fontId="6" fillId="0" borderId="0" xfId="0" applyFont="1" applyFill="1" applyBorder="1" applyAlignment="1">
      <alignment horizontal="center" wrapText="1"/>
    </xf>
    <xf numFmtId="0" fontId="10" fillId="0" borderId="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/>
    <xf numFmtId="4" fontId="9" fillId="0" borderId="1" xfId="0" applyNumberFormat="1" applyFont="1" applyFill="1" applyBorder="1" applyAlignment="1">
      <alignment horizontal="center" wrapText="1"/>
    </xf>
    <xf numFmtId="0" fontId="5" fillId="0" borderId="2" xfId="0" applyFont="1" applyBorder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0" fontId="2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right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4" fontId="6" fillId="0" borderId="5" xfId="0" applyNumberFormat="1" applyFont="1" applyFill="1" applyBorder="1" applyAlignment="1">
      <alignment horizontal="center" vertical="center" wrapText="1"/>
    </xf>
    <xf numFmtId="4" fontId="6" fillId="0" borderId="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"/>
  <sheetViews>
    <sheetView zoomScale="130" zoomScaleNormal="130" workbookViewId="0">
      <selection activeCell="P28" sqref="P28"/>
    </sheetView>
  </sheetViews>
  <sheetFormatPr defaultColWidth="10.33203125" defaultRowHeight="10.199999999999999" x14ac:dyDescent="0.2"/>
  <cols>
    <col min="1" max="1" width="9.33203125" style="1" customWidth="1"/>
    <col min="2" max="2" width="10.33203125" style="1"/>
    <col min="3" max="3" width="7.5546875" style="1" customWidth="1"/>
    <col min="4" max="5" width="7.109375" style="1" customWidth="1"/>
    <col min="6" max="6" width="7.109375" style="2" customWidth="1"/>
    <col min="7" max="7" width="7.88671875" style="1" customWidth="1"/>
    <col min="8" max="8" width="7.109375" style="9" customWidth="1"/>
    <col min="9" max="9" width="8.88671875" style="2" customWidth="1"/>
    <col min="10" max="10" width="7.88671875" style="1" customWidth="1"/>
    <col min="11" max="11" width="9.5546875" style="1" customWidth="1"/>
    <col min="12" max="16" width="9.6640625" style="2" customWidth="1"/>
    <col min="17" max="17" width="7.109375" style="1" customWidth="1"/>
    <col min="18" max="18" width="9" style="12" customWidth="1"/>
    <col min="19" max="20" width="0" style="1" hidden="1" customWidth="1"/>
    <col min="21" max="21" width="9.33203125" style="1" customWidth="1"/>
    <col min="22" max="22" width="7.6640625" style="1" customWidth="1"/>
    <col min="23" max="23" width="7.88671875" style="1" customWidth="1"/>
    <col min="24" max="24" width="7.5546875" style="1" hidden="1" customWidth="1"/>
    <col min="25" max="25" width="7.88671875" style="1" customWidth="1"/>
    <col min="26" max="26" width="7.6640625" style="1" customWidth="1"/>
    <col min="27" max="16384" width="10.33203125" style="1"/>
  </cols>
  <sheetData>
    <row r="1" spans="1:26" x14ac:dyDescent="0.2">
      <c r="F1" s="107" t="s">
        <v>68</v>
      </c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</row>
    <row r="4" spans="1:26" ht="80.25" customHeight="1" x14ac:dyDescent="0.2">
      <c r="A4" s="3" t="s">
        <v>27</v>
      </c>
      <c r="B4" s="3" t="s">
        <v>2</v>
      </c>
      <c r="C4" s="4" t="s">
        <v>3</v>
      </c>
      <c r="D4" s="4" t="s">
        <v>10</v>
      </c>
      <c r="E4" s="4" t="s">
        <v>11</v>
      </c>
      <c r="F4" s="5" t="s">
        <v>0</v>
      </c>
      <c r="G4" s="4" t="s">
        <v>8</v>
      </c>
      <c r="H4" s="6" t="s">
        <v>5</v>
      </c>
      <c r="I4" s="5" t="s">
        <v>4</v>
      </c>
      <c r="J4" s="4" t="s">
        <v>9</v>
      </c>
      <c r="K4" s="6" t="s">
        <v>81</v>
      </c>
      <c r="L4" s="7" t="s">
        <v>1</v>
      </c>
      <c r="M4" s="7" t="s">
        <v>34</v>
      </c>
      <c r="N4" s="38" t="s">
        <v>72</v>
      </c>
      <c r="O4" s="38" t="s">
        <v>70</v>
      </c>
      <c r="P4" s="38" t="s">
        <v>82</v>
      </c>
      <c r="Q4" s="4" t="s">
        <v>69</v>
      </c>
      <c r="R4" s="10" t="s">
        <v>70</v>
      </c>
      <c r="S4" s="14" t="s">
        <v>6</v>
      </c>
      <c r="T4" s="14" t="s">
        <v>7</v>
      </c>
      <c r="U4" s="3" t="s">
        <v>83</v>
      </c>
      <c r="V4" s="3" t="s">
        <v>84</v>
      </c>
      <c r="W4" s="3" t="s">
        <v>85</v>
      </c>
      <c r="X4" s="3" t="s">
        <v>25</v>
      </c>
      <c r="Y4" s="3" t="s">
        <v>87</v>
      </c>
      <c r="Z4" s="3" t="s">
        <v>7</v>
      </c>
    </row>
    <row r="5" spans="1:26" ht="20.399999999999999" x14ac:dyDescent="0.2">
      <c r="A5" s="108" t="s">
        <v>45</v>
      </c>
      <c r="B5" s="3" t="s">
        <v>15</v>
      </c>
      <c r="C5" s="3"/>
      <c r="D5" s="3">
        <v>22.9</v>
      </c>
      <c r="E5" s="3">
        <v>25.5</v>
      </c>
      <c r="F5" s="13">
        <f>(D5*6.5+E5*5.5)/12+C5</f>
        <v>24.091666666666669</v>
      </c>
      <c r="G5" s="3">
        <v>6</v>
      </c>
      <c r="H5" s="8"/>
      <c r="I5" s="13">
        <v>0</v>
      </c>
      <c r="J5" s="3">
        <v>6</v>
      </c>
      <c r="K5" s="3">
        <v>7962</v>
      </c>
      <c r="L5" s="13">
        <f t="shared" ref="L5:L7" si="0">K5/J5</f>
        <v>1327</v>
      </c>
      <c r="M5" s="13">
        <f>(F5*L5)/100</f>
        <v>319.69641666666672</v>
      </c>
      <c r="N5" s="46">
        <v>48.76</v>
      </c>
      <c r="O5" s="46">
        <f>(F5*L5)/100*N5</f>
        <v>15588.397276666668</v>
      </c>
      <c r="P5" s="45">
        <f>(K5*F5)/100*N5</f>
        <v>93530.383659999992</v>
      </c>
      <c r="Q5" s="3">
        <v>51.03</v>
      </c>
      <c r="R5" s="11">
        <f>(F5*Q5*L5)/100+C5*I5*Q5</f>
        <v>16314.108142500001</v>
      </c>
      <c r="U5" s="16">
        <f>(F5*L5)/100*Q5*12</f>
        <v>195769.29771000004</v>
      </c>
      <c r="V5" s="3"/>
      <c r="W5" s="3"/>
      <c r="X5" s="3"/>
      <c r="Y5" s="3"/>
      <c r="Z5" s="3">
        <f>V5*12/U5</f>
        <v>0</v>
      </c>
    </row>
    <row r="6" spans="1:26" ht="29.25" customHeight="1" x14ac:dyDescent="0.2">
      <c r="A6" s="109"/>
      <c r="B6" s="3" t="s">
        <v>14</v>
      </c>
      <c r="C6" s="3"/>
      <c r="D6" s="3">
        <v>39.39</v>
      </c>
      <c r="E6" s="3">
        <v>43.94</v>
      </c>
      <c r="F6" s="13">
        <f>(D6*6.5+E6*5.5)/12+C6</f>
        <v>41.475416666666668</v>
      </c>
      <c r="G6" s="3">
        <v>6</v>
      </c>
      <c r="H6" s="8"/>
      <c r="I6" s="13">
        <v>0</v>
      </c>
      <c r="J6" s="3">
        <v>6</v>
      </c>
      <c r="K6" s="3">
        <v>3067</v>
      </c>
      <c r="L6" s="13">
        <f t="shared" si="0"/>
        <v>511.16666666666669</v>
      </c>
      <c r="M6" s="13">
        <f t="shared" ref="M6:M7" si="1">(F6*L6)/100</f>
        <v>212.00850486111113</v>
      </c>
      <c r="N6" s="46">
        <v>48.76</v>
      </c>
      <c r="O6" s="46">
        <f t="shared" ref="O6:O7" si="2">(F6*L6)/100*N6</f>
        <v>10337.534697027779</v>
      </c>
      <c r="P6" s="45">
        <f t="shared" ref="P6:P7" si="3">(K6*F6)/100*N6</f>
        <v>62025.208182166665</v>
      </c>
      <c r="Q6" s="3">
        <v>51.03</v>
      </c>
      <c r="R6" s="11">
        <f>(F6*Q6*L6)/100+C6*I6*Q6</f>
        <v>10818.7940030625</v>
      </c>
      <c r="U6" s="16">
        <f>(F6*L6)/100*Q6*12</f>
        <v>129825.52803675001</v>
      </c>
      <c r="V6" s="3"/>
      <c r="W6" s="3"/>
      <c r="X6" s="3"/>
      <c r="Y6" s="3"/>
      <c r="Z6" s="3">
        <f t="shared" ref="Z6" si="4">V6*12/U6</f>
        <v>0</v>
      </c>
    </row>
    <row r="7" spans="1:26" ht="29.25" customHeight="1" x14ac:dyDescent="0.2">
      <c r="A7" s="109"/>
      <c r="B7" s="3" t="s">
        <v>55</v>
      </c>
      <c r="C7" s="3"/>
      <c r="D7" s="3">
        <v>33.6</v>
      </c>
      <c r="E7" s="3">
        <v>37.799999999999997</v>
      </c>
      <c r="F7" s="13">
        <f>(D7*6.5+E7*5.5)/12+C7</f>
        <v>35.524999999999999</v>
      </c>
      <c r="G7" s="3">
        <v>6</v>
      </c>
      <c r="H7" s="8"/>
      <c r="I7" s="13">
        <v>0</v>
      </c>
      <c r="J7" s="3">
        <v>6</v>
      </c>
      <c r="K7" s="3">
        <v>1182</v>
      </c>
      <c r="L7" s="13">
        <f t="shared" si="0"/>
        <v>197</v>
      </c>
      <c r="M7" s="13">
        <f t="shared" si="1"/>
        <v>69.984249999999989</v>
      </c>
      <c r="N7" s="46">
        <v>48.76</v>
      </c>
      <c r="O7" s="46">
        <f t="shared" si="2"/>
        <v>3412.4320299999995</v>
      </c>
      <c r="P7" s="45">
        <f t="shared" si="3"/>
        <v>20474.592179999996</v>
      </c>
      <c r="Q7" s="3">
        <v>51.03</v>
      </c>
      <c r="R7" s="11">
        <f>(F7*Q7*L7)/100+C7*I7*Q7</f>
        <v>3571.2962774999996</v>
      </c>
      <c r="U7" s="16">
        <f>(F7*L7)/100*Q7*12</f>
        <v>42855.555329999996</v>
      </c>
      <c r="V7" s="3"/>
      <c r="W7" s="3"/>
      <c r="X7" s="3"/>
      <c r="Y7" s="3"/>
      <c r="Z7" s="3"/>
    </row>
    <row r="8" spans="1:26" x14ac:dyDescent="0.2">
      <c r="A8" s="110"/>
      <c r="B8" s="104" t="s">
        <v>26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6"/>
      <c r="R8" s="11">
        <f>SUM(R5:R7)</f>
        <v>30704.198423062502</v>
      </c>
      <c r="S8" s="11">
        <f>SUM(S6:S7)</f>
        <v>0</v>
      </c>
      <c r="T8" s="11">
        <f>SUM(T6:T7)</f>
        <v>0</v>
      </c>
      <c r="U8" s="11">
        <f>SUM(U5:U7)</f>
        <v>368450.38107675005</v>
      </c>
      <c r="V8" s="11">
        <v>375000</v>
      </c>
      <c r="W8" s="11">
        <v>375000</v>
      </c>
      <c r="X8" s="11"/>
      <c r="Y8" s="11">
        <v>375000</v>
      </c>
      <c r="Z8" s="24">
        <f>V8/R8</f>
        <v>12.213313463944084</v>
      </c>
    </row>
    <row r="9" spans="1:26" x14ac:dyDescent="0.2">
      <c r="E9" s="9"/>
      <c r="F9" s="9"/>
      <c r="G9" s="9"/>
      <c r="I9" s="9"/>
      <c r="J9" s="9"/>
      <c r="K9" s="9"/>
      <c r="L9" s="9"/>
      <c r="M9" s="9"/>
      <c r="N9" s="9"/>
      <c r="O9" s="9"/>
      <c r="P9" s="9"/>
      <c r="Q9" s="9"/>
      <c r="R9" s="20"/>
      <c r="S9" s="9"/>
      <c r="T9" s="9"/>
      <c r="U9" s="9"/>
    </row>
    <row r="10" spans="1:26" x14ac:dyDescent="0.2">
      <c r="E10" s="9"/>
      <c r="F10" s="9"/>
      <c r="G10" s="9"/>
      <c r="I10" s="9"/>
      <c r="J10" s="9"/>
      <c r="K10" s="9"/>
      <c r="L10" s="9"/>
      <c r="M10" s="9"/>
      <c r="N10" s="9"/>
      <c r="O10" s="9"/>
      <c r="P10" s="9"/>
      <c r="Q10" s="9"/>
      <c r="R10" s="20"/>
      <c r="S10" s="9"/>
      <c r="T10" s="9"/>
      <c r="U10" s="9"/>
    </row>
    <row r="11" spans="1:26" x14ac:dyDescent="0.2">
      <c r="E11" s="9"/>
      <c r="F11" s="9"/>
      <c r="G11" s="9"/>
      <c r="I11" s="9"/>
      <c r="J11" s="9"/>
      <c r="K11" s="9"/>
      <c r="L11" s="9"/>
      <c r="M11" s="9"/>
      <c r="N11" s="9"/>
      <c r="O11" s="9"/>
      <c r="P11" s="9"/>
      <c r="Q11" s="9"/>
      <c r="R11" s="20"/>
      <c r="S11" s="9"/>
      <c r="T11" s="9"/>
      <c r="U11" s="9"/>
    </row>
    <row r="12" spans="1:26" x14ac:dyDescent="0.2">
      <c r="E12" s="9"/>
      <c r="F12" s="9"/>
      <c r="G12" s="9"/>
      <c r="I12" s="9"/>
      <c r="J12" s="9"/>
      <c r="K12" s="9"/>
      <c r="L12" s="9"/>
      <c r="M12" s="9"/>
      <c r="N12" s="9"/>
      <c r="O12" s="9"/>
      <c r="P12" s="9"/>
      <c r="Q12" s="9"/>
      <c r="R12" s="20"/>
      <c r="S12" s="9"/>
      <c r="T12" s="9"/>
      <c r="U12" s="9"/>
    </row>
    <row r="13" spans="1:26" x14ac:dyDescent="0.2">
      <c r="E13" s="9"/>
      <c r="F13" s="9"/>
      <c r="G13" s="9"/>
      <c r="I13" s="9"/>
      <c r="J13" s="9"/>
      <c r="K13" s="9"/>
      <c r="L13" s="9"/>
      <c r="M13" s="9"/>
      <c r="N13" s="9"/>
      <c r="O13" s="9"/>
      <c r="P13" s="9"/>
      <c r="Q13" s="9"/>
      <c r="R13" s="20"/>
      <c r="S13" s="9"/>
      <c r="T13" s="9"/>
      <c r="U13" s="9"/>
    </row>
    <row r="14" spans="1:26" x14ac:dyDescent="0.2">
      <c r="E14" s="9"/>
      <c r="F14" s="9"/>
      <c r="G14" s="9"/>
      <c r="I14" s="9"/>
      <c r="J14" s="9"/>
      <c r="K14" s="9"/>
      <c r="L14" s="9"/>
      <c r="M14" s="9"/>
      <c r="N14" s="9"/>
      <c r="O14" s="9"/>
      <c r="P14" s="9"/>
      <c r="Q14" s="9"/>
      <c r="R14" s="20"/>
      <c r="S14" s="9"/>
      <c r="T14" s="9"/>
      <c r="U14" s="9"/>
    </row>
    <row r="15" spans="1:26" x14ac:dyDescent="0.2">
      <c r="E15" s="9"/>
      <c r="F15" s="9"/>
      <c r="G15" s="9"/>
      <c r="I15" s="9"/>
      <c r="J15" s="9"/>
      <c r="K15" s="9"/>
      <c r="L15" s="9"/>
      <c r="M15" s="9"/>
      <c r="N15" s="9"/>
      <c r="O15" s="9"/>
      <c r="P15" s="9"/>
      <c r="Q15" s="9"/>
      <c r="R15" s="20"/>
      <c r="S15" s="9"/>
      <c r="T15" s="9"/>
      <c r="U15" s="9"/>
    </row>
    <row r="16" spans="1:26" x14ac:dyDescent="0.2">
      <c r="E16" s="9"/>
      <c r="F16" s="9"/>
      <c r="G16" s="9"/>
      <c r="I16" s="9"/>
      <c r="J16" s="9"/>
      <c r="K16" s="9"/>
      <c r="L16" s="9"/>
      <c r="M16" s="9"/>
      <c r="N16" s="9"/>
      <c r="O16" s="9"/>
      <c r="P16" s="9"/>
      <c r="Q16" s="9"/>
      <c r="R16" s="20"/>
      <c r="S16" s="9"/>
      <c r="T16" s="9"/>
      <c r="U16" s="9"/>
    </row>
    <row r="17" spans="5:21" x14ac:dyDescent="0.2">
      <c r="E17" s="9"/>
      <c r="F17" s="9"/>
      <c r="G17" s="9"/>
      <c r="I17" s="9"/>
      <c r="J17" s="9"/>
      <c r="K17" s="9"/>
      <c r="L17" s="9"/>
      <c r="M17" s="9"/>
      <c r="N17" s="9"/>
      <c r="O17" s="9"/>
      <c r="P17" s="9"/>
      <c r="Q17" s="9"/>
      <c r="R17" s="20"/>
      <c r="S17" s="9"/>
      <c r="T17" s="9"/>
      <c r="U17" s="9"/>
    </row>
    <row r="18" spans="5:21" x14ac:dyDescent="0.2">
      <c r="E18" s="9"/>
      <c r="F18" s="9"/>
      <c r="G18" s="9"/>
      <c r="I18" s="9"/>
      <c r="J18" s="9"/>
      <c r="K18" s="9"/>
      <c r="L18" s="9"/>
      <c r="M18" s="9"/>
      <c r="N18" s="9"/>
      <c r="O18" s="9"/>
      <c r="P18" s="9"/>
      <c r="Q18" s="9"/>
      <c r="R18" s="20"/>
      <c r="S18" s="9"/>
      <c r="T18" s="9"/>
      <c r="U18" s="9"/>
    </row>
    <row r="19" spans="5:21" x14ac:dyDescent="0.2">
      <c r="E19" s="9"/>
      <c r="F19" s="9"/>
      <c r="G19" s="9"/>
      <c r="I19" s="9"/>
      <c r="J19" s="9"/>
      <c r="K19" s="9"/>
      <c r="L19" s="9"/>
      <c r="M19" s="9"/>
      <c r="N19" s="9"/>
      <c r="O19" s="9"/>
      <c r="P19" s="9"/>
      <c r="Q19" s="9"/>
      <c r="R19" s="20"/>
      <c r="S19" s="9"/>
      <c r="T19" s="9"/>
      <c r="U19" s="9"/>
    </row>
    <row r="20" spans="5:21" x14ac:dyDescent="0.2">
      <c r="E20" s="9"/>
      <c r="F20" s="9"/>
      <c r="G20" s="9"/>
      <c r="I20" s="9"/>
      <c r="J20" s="9"/>
      <c r="K20" s="9"/>
      <c r="L20" s="9"/>
      <c r="M20" s="9"/>
      <c r="N20" s="9"/>
      <c r="O20" s="9"/>
      <c r="P20" s="9"/>
      <c r="Q20" s="9"/>
      <c r="R20" s="20"/>
      <c r="S20" s="9"/>
      <c r="T20" s="9"/>
      <c r="U20" s="9"/>
    </row>
    <row r="21" spans="5:21" x14ac:dyDescent="0.2">
      <c r="E21" s="9"/>
      <c r="F21" s="9"/>
      <c r="G21" s="9"/>
      <c r="I21" s="9"/>
      <c r="J21" s="9"/>
      <c r="K21" s="9"/>
      <c r="L21" s="9"/>
      <c r="M21" s="9"/>
      <c r="N21" s="9"/>
      <c r="O21" s="9"/>
      <c r="P21" s="9"/>
      <c r="Q21" s="9"/>
      <c r="R21" s="20"/>
      <c r="S21" s="9"/>
      <c r="T21" s="9"/>
      <c r="U21" s="9"/>
    </row>
    <row r="22" spans="5:21" x14ac:dyDescent="0.2">
      <c r="E22" s="9"/>
      <c r="F22" s="9"/>
      <c r="G22" s="9"/>
      <c r="I22" s="9"/>
      <c r="J22" s="9"/>
      <c r="K22" s="9"/>
      <c r="L22" s="9"/>
      <c r="M22" s="9"/>
      <c r="N22" s="9"/>
      <c r="O22" s="9"/>
      <c r="P22" s="9"/>
      <c r="Q22" s="9"/>
      <c r="R22" s="20"/>
      <c r="S22" s="9"/>
      <c r="T22" s="9"/>
      <c r="U22" s="9"/>
    </row>
    <row r="23" spans="5:21" x14ac:dyDescent="0.2">
      <c r="E23" s="9"/>
      <c r="F23" s="9"/>
      <c r="G23" s="9"/>
      <c r="I23" s="9"/>
      <c r="J23" s="9"/>
      <c r="K23" s="9"/>
      <c r="L23" s="9"/>
      <c r="M23" s="9"/>
      <c r="N23" s="9"/>
      <c r="O23" s="9"/>
      <c r="P23" s="9"/>
      <c r="Q23" s="9"/>
      <c r="R23" s="20"/>
      <c r="S23" s="9"/>
      <c r="T23" s="9"/>
      <c r="U23" s="9"/>
    </row>
    <row r="24" spans="5:21" x14ac:dyDescent="0.2">
      <c r="E24" s="9"/>
      <c r="F24" s="9"/>
      <c r="G24" s="9"/>
      <c r="I24" s="9"/>
      <c r="J24" s="9"/>
      <c r="K24" s="9"/>
      <c r="L24" s="9"/>
      <c r="M24" s="9"/>
      <c r="N24" s="9"/>
      <c r="O24" s="9"/>
      <c r="P24" s="9"/>
      <c r="Q24" s="9"/>
      <c r="R24" s="20"/>
      <c r="S24" s="9"/>
      <c r="T24" s="9"/>
      <c r="U24" s="9"/>
    </row>
    <row r="25" spans="5:21" x14ac:dyDescent="0.2">
      <c r="E25" s="9"/>
      <c r="F25" s="9"/>
      <c r="G25" s="9"/>
      <c r="I25" s="9"/>
      <c r="J25" s="9"/>
      <c r="K25" s="9"/>
      <c r="L25" s="9"/>
      <c r="M25" s="9"/>
      <c r="N25" s="9"/>
      <c r="O25" s="9"/>
      <c r="P25" s="9"/>
      <c r="Q25" s="9"/>
      <c r="R25" s="20"/>
      <c r="S25" s="9"/>
      <c r="T25" s="9"/>
      <c r="U25" s="9"/>
    </row>
    <row r="26" spans="5:21" x14ac:dyDescent="0.2">
      <c r="E26" s="9"/>
      <c r="F26" s="9"/>
      <c r="G26" s="9"/>
      <c r="I26" s="9"/>
      <c r="J26" s="9"/>
      <c r="K26" s="9"/>
      <c r="L26" s="9"/>
      <c r="M26" s="9"/>
      <c r="N26" s="9"/>
      <c r="O26" s="9"/>
      <c r="P26" s="9"/>
      <c r="Q26" s="9"/>
      <c r="R26" s="20"/>
      <c r="S26" s="9"/>
      <c r="T26" s="9"/>
      <c r="U26" s="9"/>
    </row>
    <row r="27" spans="5:21" x14ac:dyDescent="0.2">
      <c r="E27" s="9"/>
      <c r="F27" s="9"/>
      <c r="G27" s="9"/>
      <c r="I27" s="9"/>
      <c r="J27" s="9"/>
      <c r="K27" s="9"/>
      <c r="L27" s="9"/>
      <c r="M27" s="9"/>
      <c r="N27" s="9"/>
      <c r="O27" s="9"/>
      <c r="P27" s="9"/>
      <c r="Q27" s="9"/>
      <c r="R27" s="20"/>
      <c r="S27" s="9"/>
      <c r="T27" s="9"/>
      <c r="U27" s="9"/>
    </row>
    <row r="28" spans="5:21" x14ac:dyDescent="0.2">
      <c r="E28" s="9"/>
      <c r="F28" s="9"/>
      <c r="G28" s="9"/>
      <c r="I28" s="9"/>
      <c r="J28" s="9"/>
      <c r="K28" s="9"/>
      <c r="L28" s="9"/>
      <c r="M28" s="9"/>
      <c r="N28" s="9"/>
      <c r="O28" s="9"/>
      <c r="P28" s="9"/>
      <c r="Q28" s="9"/>
      <c r="R28" s="20"/>
      <c r="S28" s="9"/>
      <c r="T28" s="9"/>
      <c r="U28" s="9"/>
    </row>
    <row r="29" spans="5:21" x14ac:dyDescent="0.2">
      <c r="E29" s="9"/>
      <c r="F29" s="9"/>
      <c r="G29" s="9"/>
      <c r="I29" s="9"/>
      <c r="J29" s="9"/>
      <c r="K29" s="9"/>
      <c r="L29" s="9"/>
      <c r="M29" s="9"/>
      <c r="N29" s="9"/>
      <c r="O29" s="9"/>
      <c r="P29" s="9"/>
      <c r="Q29" s="9"/>
      <c r="R29" s="20"/>
      <c r="S29" s="9"/>
      <c r="T29" s="9"/>
      <c r="U29" s="9"/>
    </row>
    <row r="30" spans="5:21" x14ac:dyDescent="0.2">
      <c r="E30" s="9"/>
      <c r="F30" s="9"/>
      <c r="G30" s="9"/>
      <c r="I30" s="9"/>
      <c r="J30" s="9"/>
      <c r="K30" s="9"/>
      <c r="L30" s="9"/>
      <c r="M30" s="9"/>
      <c r="N30" s="9"/>
      <c r="O30" s="9"/>
      <c r="P30" s="9"/>
      <c r="Q30" s="9"/>
      <c r="R30" s="20"/>
      <c r="S30" s="9"/>
      <c r="T30" s="9"/>
      <c r="U30" s="9"/>
    </row>
    <row r="31" spans="5:21" x14ac:dyDescent="0.2">
      <c r="E31" s="9"/>
      <c r="F31" s="9"/>
      <c r="G31" s="9"/>
      <c r="I31" s="9"/>
      <c r="J31" s="9"/>
      <c r="K31" s="9"/>
      <c r="L31" s="9"/>
      <c r="M31" s="9"/>
      <c r="N31" s="9"/>
      <c r="O31" s="9"/>
      <c r="P31" s="9"/>
      <c r="Q31" s="9"/>
      <c r="R31" s="20"/>
      <c r="S31" s="9"/>
      <c r="T31" s="9"/>
      <c r="U31" s="9"/>
    </row>
    <row r="32" spans="5:21" x14ac:dyDescent="0.2">
      <c r="E32" s="9"/>
      <c r="F32" s="9"/>
      <c r="G32" s="9"/>
      <c r="I32" s="9"/>
      <c r="J32" s="9"/>
      <c r="K32" s="9"/>
      <c r="L32" s="9"/>
      <c r="M32" s="9"/>
      <c r="N32" s="9"/>
      <c r="O32" s="9"/>
      <c r="P32" s="9"/>
      <c r="Q32" s="9"/>
      <c r="R32" s="20"/>
      <c r="S32" s="9"/>
      <c r="T32" s="9"/>
      <c r="U32" s="9"/>
    </row>
    <row r="33" spans="5:21" x14ac:dyDescent="0.2">
      <c r="E33" s="9"/>
      <c r="F33" s="9"/>
      <c r="G33" s="9"/>
      <c r="I33" s="9"/>
      <c r="J33" s="9"/>
      <c r="K33" s="9"/>
      <c r="L33" s="9"/>
      <c r="M33" s="9"/>
      <c r="N33" s="9"/>
      <c r="O33" s="9"/>
      <c r="P33" s="9"/>
      <c r="Q33" s="9"/>
      <c r="R33" s="20"/>
      <c r="S33" s="9"/>
      <c r="T33" s="9"/>
      <c r="U33" s="9"/>
    </row>
    <row r="34" spans="5:21" x14ac:dyDescent="0.2">
      <c r="E34" s="9"/>
      <c r="F34" s="9"/>
      <c r="G34" s="9"/>
      <c r="I34" s="9"/>
      <c r="J34" s="9"/>
      <c r="K34" s="9"/>
      <c r="L34" s="9"/>
      <c r="M34" s="9"/>
      <c r="N34" s="9"/>
      <c r="O34" s="9"/>
      <c r="P34" s="9"/>
      <c r="Q34" s="9"/>
      <c r="R34" s="20"/>
      <c r="S34" s="9"/>
      <c r="T34" s="9"/>
      <c r="U34" s="9"/>
    </row>
    <row r="35" spans="5:21" x14ac:dyDescent="0.2">
      <c r="E35" s="9"/>
      <c r="F35" s="9"/>
      <c r="G35" s="9"/>
      <c r="I35" s="9"/>
      <c r="J35" s="9"/>
      <c r="K35" s="9"/>
      <c r="L35" s="9"/>
      <c r="M35" s="9"/>
      <c r="N35" s="9"/>
      <c r="O35" s="9"/>
      <c r="P35" s="9"/>
      <c r="Q35" s="9"/>
      <c r="R35" s="20"/>
      <c r="S35" s="9"/>
      <c r="T35" s="9"/>
      <c r="U35" s="9"/>
    </row>
    <row r="36" spans="5:21" x14ac:dyDescent="0.2">
      <c r="E36" s="9"/>
      <c r="F36" s="9"/>
      <c r="G36" s="9"/>
      <c r="I36" s="9"/>
      <c r="J36" s="9"/>
      <c r="K36" s="9"/>
      <c r="L36" s="9"/>
      <c r="M36" s="9"/>
      <c r="N36" s="9"/>
      <c r="O36" s="9"/>
      <c r="P36" s="9"/>
      <c r="Q36" s="9"/>
      <c r="R36" s="20"/>
      <c r="S36" s="9"/>
      <c r="T36" s="9"/>
      <c r="U36" s="9"/>
    </row>
    <row r="37" spans="5:21" x14ac:dyDescent="0.2">
      <c r="E37" s="9"/>
      <c r="F37" s="9"/>
      <c r="G37" s="9"/>
      <c r="I37" s="9"/>
      <c r="J37" s="9"/>
      <c r="K37" s="9"/>
      <c r="L37" s="9"/>
      <c r="M37" s="9"/>
      <c r="N37" s="9"/>
      <c r="O37" s="9"/>
      <c r="P37" s="9"/>
      <c r="Q37" s="9"/>
      <c r="R37" s="20"/>
      <c r="S37" s="9"/>
      <c r="T37" s="9"/>
      <c r="U37" s="9"/>
    </row>
    <row r="38" spans="5:21" x14ac:dyDescent="0.2">
      <c r="E38" s="9"/>
      <c r="F38" s="9"/>
      <c r="G38" s="9"/>
      <c r="I38" s="9"/>
      <c r="J38" s="9"/>
      <c r="K38" s="9"/>
      <c r="L38" s="9"/>
      <c r="M38" s="9"/>
      <c r="N38" s="9"/>
      <c r="O38" s="9"/>
      <c r="P38" s="9"/>
      <c r="Q38" s="9"/>
      <c r="R38" s="20"/>
      <c r="S38" s="9"/>
      <c r="T38" s="9"/>
      <c r="U38" s="9"/>
    </row>
    <row r="39" spans="5:21" x14ac:dyDescent="0.2">
      <c r="E39" s="9"/>
      <c r="F39" s="9"/>
      <c r="G39" s="9"/>
      <c r="I39" s="9"/>
      <c r="J39" s="9"/>
      <c r="K39" s="9"/>
      <c r="L39" s="9"/>
      <c r="M39" s="9"/>
      <c r="N39" s="9"/>
      <c r="O39" s="9"/>
      <c r="P39" s="9"/>
      <c r="Q39" s="9"/>
      <c r="R39" s="20"/>
      <c r="S39" s="9"/>
      <c r="T39" s="9"/>
      <c r="U39" s="9"/>
    </row>
  </sheetData>
  <mergeCells count="3">
    <mergeCell ref="B8:Q8"/>
    <mergeCell ref="F1:S1"/>
    <mergeCell ref="A5:A8"/>
  </mergeCells>
  <pageMargins left="0" right="0" top="0.74803149606299213" bottom="0.74803149606299213" header="0.31496062992125984" footer="0.31496062992125984"/>
  <pageSetup paperSize="9" scale="8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"/>
  <sheetViews>
    <sheetView zoomScale="130" zoomScaleNormal="130" workbookViewId="0">
      <selection activeCell="U21" sqref="U20:U21"/>
    </sheetView>
  </sheetViews>
  <sheetFormatPr defaultColWidth="10.33203125" defaultRowHeight="10.199999999999999" x14ac:dyDescent="0.2"/>
  <cols>
    <col min="1" max="1" width="10.33203125" style="1"/>
    <col min="2" max="2" width="9" style="1" customWidth="1"/>
    <col min="3" max="3" width="8.33203125" style="1" customWidth="1"/>
    <col min="4" max="5" width="7.109375" style="1" customWidth="1"/>
    <col min="6" max="6" width="7.109375" style="2" customWidth="1"/>
    <col min="7" max="7" width="7.88671875" style="1" customWidth="1"/>
    <col min="8" max="8" width="7.109375" style="9" customWidth="1"/>
    <col min="9" max="9" width="8.88671875" style="2" customWidth="1"/>
    <col min="10" max="10" width="7.88671875" style="1" customWidth="1"/>
    <col min="11" max="11" width="9.5546875" style="1" customWidth="1"/>
    <col min="12" max="16" width="9.6640625" style="2" customWidth="1"/>
    <col min="17" max="17" width="7.109375" style="1" customWidth="1"/>
    <col min="18" max="18" width="8.6640625" style="12" customWidth="1"/>
    <col min="19" max="20" width="0" style="1" hidden="1" customWidth="1"/>
    <col min="21" max="21" width="9" style="1" customWidth="1"/>
    <col min="22" max="22" width="8.6640625" style="1" customWidth="1"/>
    <col min="23" max="23" width="8.5546875" style="1" customWidth="1"/>
    <col min="24" max="24" width="7.6640625" style="1" hidden="1" customWidth="1"/>
    <col min="25" max="25" width="8.5546875" style="1" customWidth="1"/>
    <col min="26" max="26" width="7.5546875" style="1" customWidth="1"/>
    <col min="27" max="16384" width="10.33203125" style="1"/>
  </cols>
  <sheetData>
    <row r="1" spans="1:26" x14ac:dyDescent="0.2">
      <c r="E1" s="107" t="s">
        <v>68</v>
      </c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</row>
    <row r="2" spans="1:26" x14ac:dyDescent="0.2">
      <c r="F2" s="9"/>
      <c r="G2" s="9"/>
      <c r="I2" s="9"/>
      <c r="J2" s="9"/>
      <c r="K2" s="9"/>
      <c r="L2" s="9"/>
      <c r="M2" s="9"/>
      <c r="N2" s="44"/>
      <c r="O2" s="44"/>
      <c r="P2" s="44"/>
      <c r="Q2" s="9"/>
      <c r="R2" s="20"/>
    </row>
    <row r="3" spans="1:26" x14ac:dyDescent="0.2">
      <c r="F3" s="9"/>
      <c r="G3" s="9"/>
      <c r="I3" s="9"/>
      <c r="J3" s="9"/>
      <c r="K3" s="9"/>
      <c r="L3" s="9"/>
      <c r="M3" s="9"/>
      <c r="N3" s="44"/>
      <c r="O3" s="44"/>
      <c r="P3" s="44"/>
      <c r="Q3" s="9"/>
      <c r="R3" s="20"/>
    </row>
    <row r="4" spans="1:26" ht="84.75" customHeight="1" x14ac:dyDescent="0.2">
      <c r="A4" s="3" t="s">
        <v>27</v>
      </c>
      <c r="B4" s="3" t="s">
        <v>2</v>
      </c>
      <c r="C4" s="4" t="s">
        <v>3</v>
      </c>
      <c r="D4" s="4" t="s">
        <v>10</v>
      </c>
      <c r="E4" s="4" t="s">
        <v>11</v>
      </c>
      <c r="F4" s="5" t="s">
        <v>0</v>
      </c>
      <c r="G4" s="4" t="s">
        <v>8</v>
      </c>
      <c r="H4" s="6" t="s">
        <v>5</v>
      </c>
      <c r="I4" s="5" t="s">
        <v>4</v>
      </c>
      <c r="J4" s="4" t="s">
        <v>9</v>
      </c>
      <c r="K4" s="6" t="s">
        <v>81</v>
      </c>
      <c r="L4" s="7" t="s">
        <v>43</v>
      </c>
      <c r="M4" s="7" t="s">
        <v>34</v>
      </c>
      <c r="N4" s="38" t="s">
        <v>72</v>
      </c>
      <c r="O4" s="38" t="s">
        <v>70</v>
      </c>
      <c r="P4" s="38" t="s">
        <v>82</v>
      </c>
      <c r="Q4" s="4" t="s">
        <v>69</v>
      </c>
      <c r="R4" s="10" t="s">
        <v>70</v>
      </c>
      <c r="S4" s="14" t="s">
        <v>6</v>
      </c>
      <c r="T4" s="14" t="s">
        <v>7</v>
      </c>
      <c r="U4" s="3" t="s">
        <v>83</v>
      </c>
      <c r="V4" s="3" t="s">
        <v>56</v>
      </c>
      <c r="W4" s="3" t="s">
        <v>57</v>
      </c>
      <c r="X4" s="3" t="s">
        <v>25</v>
      </c>
      <c r="Y4" s="3" t="s">
        <v>86</v>
      </c>
      <c r="Z4" s="3" t="s">
        <v>7</v>
      </c>
    </row>
    <row r="5" spans="1:26" ht="47.25" customHeight="1" x14ac:dyDescent="0.2">
      <c r="A5" s="17" t="s">
        <v>28</v>
      </c>
      <c r="B5" s="3" t="s">
        <v>33</v>
      </c>
      <c r="C5" s="3"/>
      <c r="D5" s="3">
        <v>16.2</v>
      </c>
      <c r="E5" s="3">
        <v>18</v>
      </c>
      <c r="F5" s="13">
        <f>(D5*6.5+E5*5.5)/12+C5</f>
        <v>17.025000000000002</v>
      </c>
      <c r="G5" s="3"/>
      <c r="H5" s="8"/>
      <c r="I5" s="13">
        <v>0</v>
      </c>
      <c r="J5" s="3">
        <v>6</v>
      </c>
      <c r="K5" s="3">
        <v>12997</v>
      </c>
      <c r="L5" s="13">
        <f>K5/J5</f>
        <v>2166.1666666666665</v>
      </c>
      <c r="M5" s="13">
        <f>(F5*L5)/100</f>
        <v>368.78987500000005</v>
      </c>
      <c r="N5" s="45">
        <v>51.03</v>
      </c>
      <c r="O5" s="45">
        <f>(F5*L5)/100*N5</f>
        <v>18819.347321250003</v>
      </c>
      <c r="P5" s="45">
        <f>(K5*F5)/100*N5</f>
        <v>112916.0839275</v>
      </c>
      <c r="Q5" s="3">
        <v>51.03</v>
      </c>
      <c r="R5" s="11">
        <f>(F5*Q5*L5)/100+C5*I5*Q5</f>
        <v>18819.347321249999</v>
      </c>
      <c r="U5" s="16">
        <f>(F5*L5)/100*Q5*12</f>
        <v>225832.16785500004</v>
      </c>
      <c r="V5" s="23">
        <v>230000</v>
      </c>
      <c r="W5" s="23">
        <v>230000</v>
      </c>
      <c r="X5" s="23"/>
      <c r="Y5" s="23">
        <v>230000</v>
      </c>
      <c r="Z5" s="24">
        <f>V5*12/U5</f>
        <v>12.221465286433915</v>
      </c>
    </row>
    <row r="6" spans="1:26" ht="11.4" customHeight="1" x14ac:dyDescent="0.2">
      <c r="A6" s="18"/>
      <c r="B6" s="104" t="s">
        <v>26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6"/>
      <c r="R6" s="11">
        <f>R5</f>
        <v>18819.347321249999</v>
      </c>
      <c r="S6" s="11">
        <f t="shared" ref="S6:X6" si="0">S5</f>
        <v>0</v>
      </c>
      <c r="T6" s="11">
        <f t="shared" si="0"/>
        <v>0</v>
      </c>
      <c r="U6" s="11">
        <f t="shared" si="0"/>
        <v>225832.16785500004</v>
      </c>
      <c r="V6" s="11">
        <f t="shared" si="0"/>
        <v>230000</v>
      </c>
      <c r="W6" s="11">
        <f t="shared" si="0"/>
        <v>230000</v>
      </c>
      <c r="X6" s="11">
        <f t="shared" si="0"/>
        <v>0</v>
      </c>
      <c r="Y6" s="11">
        <f t="shared" ref="Y6" si="1">Y5</f>
        <v>230000</v>
      </c>
      <c r="Z6" s="24">
        <f>V6*12/U6</f>
        <v>12.221465286433915</v>
      </c>
    </row>
    <row r="7" spans="1:26" x14ac:dyDescent="0.2">
      <c r="F7" s="9"/>
      <c r="G7" s="9"/>
      <c r="I7" s="9"/>
      <c r="J7" s="9"/>
      <c r="K7" s="9"/>
      <c r="L7" s="9"/>
      <c r="M7" s="9"/>
      <c r="N7" s="45">
        <v>51.03</v>
      </c>
      <c r="O7" s="45">
        <f>SUM(O5:O6)</f>
        <v>18819.347321250003</v>
      </c>
      <c r="P7" s="45">
        <f>SUM(P5:P6)</f>
        <v>112916.0839275</v>
      </c>
      <c r="Q7" s="9"/>
      <c r="R7" s="20"/>
    </row>
    <row r="8" spans="1:26" x14ac:dyDescent="0.2">
      <c r="F8" s="9"/>
      <c r="G8" s="9"/>
      <c r="I8" s="9"/>
      <c r="J8" s="9"/>
      <c r="K8" s="9"/>
      <c r="L8" s="9"/>
      <c r="M8" s="9"/>
      <c r="N8" s="43"/>
      <c r="O8" s="43"/>
      <c r="P8" s="43"/>
      <c r="Q8" s="9"/>
      <c r="R8" s="20"/>
    </row>
    <row r="9" spans="1:26" x14ac:dyDescent="0.2">
      <c r="F9" s="9"/>
      <c r="G9" s="9"/>
      <c r="I9" s="9"/>
      <c r="J9" s="9"/>
      <c r="K9" s="9"/>
      <c r="L9" s="9"/>
      <c r="M9" s="9"/>
      <c r="Q9" s="9"/>
      <c r="R9" s="20"/>
    </row>
    <row r="10" spans="1:26" x14ac:dyDescent="0.2">
      <c r="F10" s="9"/>
      <c r="G10" s="9"/>
      <c r="I10" s="9"/>
      <c r="J10" s="9"/>
      <c r="K10" s="9"/>
      <c r="L10" s="9"/>
      <c r="M10" s="9"/>
      <c r="Q10" s="9"/>
      <c r="R10" s="20"/>
    </row>
    <row r="11" spans="1:26" x14ac:dyDescent="0.2">
      <c r="F11" s="9"/>
      <c r="G11" s="9"/>
      <c r="I11" s="9"/>
      <c r="J11" s="9"/>
      <c r="K11" s="9"/>
      <c r="L11" s="9"/>
      <c r="M11" s="9"/>
      <c r="Q11" s="9"/>
      <c r="R11" s="20"/>
    </row>
    <row r="12" spans="1:26" x14ac:dyDescent="0.2">
      <c r="F12" s="9"/>
      <c r="G12" s="9"/>
      <c r="I12" s="9"/>
      <c r="J12" s="9"/>
      <c r="K12" s="9"/>
      <c r="L12" s="9"/>
      <c r="M12" s="9"/>
      <c r="Q12" s="9"/>
      <c r="R12" s="20"/>
    </row>
    <row r="13" spans="1:26" x14ac:dyDescent="0.2">
      <c r="F13" s="9"/>
      <c r="G13" s="9"/>
      <c r="I13" s="9"/>
      <c r="J13" s="9"/>
      <c r="K13" s="9"/>
      <c r="L13" s="9"/>
      <c r="M13" s="9"/>
      <c r="Q13" s="9"/>
      <c r="R13" s="20"/>
    </row>
    <row r="14" spans="1:26" x14ac:dyDescent="0.2">
      <c r="F14" s="9"/>
      <c r="G14" s="9"/>
      <c r="I14" s="9"/>
      <c r="J14" s="9"/>
      <c r="K14" s="9"/>
      <c r="L14" s="9"/>
      <c r="M14" s="9"/>
      <c r="Q14" s="9"/>
      <c r="R14" s="20"/>
    </row>
    <row r="15" spans="1:26" x14ac:dyDescent="0.2">
      <c r="F15" s="9"/>
      <c r="G15" s="9"/>
      <c r="I15" s="9"/>
      <c r="J15" s="9"/>
      <c r="K15" s="9"/>
      <c r="L15" s="9"/>
      <c r="M15" s="9"/>
      <c r="Q15" s="9"/>
      <c r="R15" s="20"/>
    </row>
    <row r="16" spans="1:26" x14ac:dyDescent="0.2">
      <c r="F16" s="9"/>
      <c r="G16" s="9"/>
      <c r="I16" s="9"/>
      <c r="J16" s="9"/>
      <c r="K16" s="9"/>
      <c r="L16" s="9"/>
      <c r="M16" s="9"/>
      <c r="Q16" s="9"/>
      <c r="R16" s="20"/>
    </row>
    <row r="17" spans="6:18" x14ac:dyDescent="0.2">
      <c r="F17" s="9"/>
      <c r="G17" s="9"/>
      <c r="I17" s="9"/>
      <c r="J17" s="9"/>
      <c r="K17" s="9"/>
      <c r="L17" s="9"/>
      <c r="M17" s="9"/>
      <c r="Q17" s="9"/>
      <c r="R17" s="20"/>
    </row>
    <row r="18" spans="6:18" x14ac:dyDescent="0.2">
      <c r="F18" s="9"/>
      <c r="G18" s="9"/>
      <c r="I18" s="9"/>
      <c r="J18" s="9"/>
      <c r="K18" s="9"/>
      <c r="L18" s="9"/>
      <c r="M18" s="9"/>
      <c r="Q18" s="9"/>
      <c r="R18" s="20"/>
    </row>
    <row r="19" spans="6:18" x14ac:dyDescent="0.2">
      <c r="F19" s="9"/>
      <c r="G19" s="9"/>
      <c r="I19" s="9"/>
      <c r="J19" s="9"/>
      <c r="K19" s="9"/>
      <c r="L19" s="9"/>
      <c r="M19" s="9"/>
      <c r="Q19" s="9"/>
      <c r="R19" s="20"/>
    </row>
    <row r="20" spans="6:18" x14ac:dyDescent="0.2">
      <c r="F20" s="9"/>
      <c r="G20" s="9"/>
      <c r="I20" s="9"/>
      <c r="J20" s="9"/>
      <c r="K20" s="9"/>
      <c r="L20" s="9"/>
      <c r="M20" s="9"/>
      <c r="Q20" s="9"/>
      <c r="R20" s="20"/>
    </row>
    <row r="21" spans="6:18" x14ac:dyDescent="0.2">
      <c r="F21" s="9"/>
      <c r="G21" s="9"/>
      <c r="I21" s="9"/>
      <c r="J21" s="9"/>
      <c r="K21" s="9"/>
      <c r="L21" s="9"/>
      <c r="M21" s="9"/>
      <c r="Q21" s="9"/>
      <c r="R21" s="20"/>
    </row>
    <row r="22" spans="6:18" x14ac:dyDescent="0.2">
      <c r="F22" s="9"/>
      <c r="G22" s="9"/>
      <c r="I22" s="9"/>
      <c r="J22" s="9"/>
      <c r="K22" s="9"/>
      <c r="L22" s="9"/>
      <c r="M22" s="9"/>
      <c r="Q22" s="9"/>
      <c r="R22" s="20"/>
    </row>
    <row r="23" spans="6:18" x14ac:dyDescent="0.2">
      <c r="F23" s="9"/>
      <c r="G23" s="9"/>
      <c r="I23" s="9"/>
      <c r="J23" s="9"/>
      <c r="K23" s="9"/>
      <c r="L23" s="9"/>
      <c r="M23" s="9"/>
      <c r="Q23" s="9"/>
      <c r="R23" s="20"/>
    </row>
    <row r="24" spans="6:18" x14ac:dyDescent="0.2">
      <c r="F24" s="9"/>
      <c r="G24" s="9"/>
      <c r="I24" s="9"/>
      <c r="J24" s="9"/>
      <c r="K24" s="9"/>
      <c r="L24" s="9"/>
      <c r="M24" s="9"/>
      <c r="Q24" s="9"/>
      <c r="R24" s="20"/>
    </row>
    <row r="25" spans="6:18" x14ac:dyDescent="0.2">
      <c r="F25" s="9"/>
      <c r="G25" s="9"/>
      <c r="I25" s="9"/>
      <c r="J25" s="9"/>
      <c r="K25" s="9"/>
      <c r="L25" s="9"/>
      <c r="M25" s="9"/>
      <c r="Q25" s="9"/>
      <c r="R25" s="20"/>
    </row>
    <row r="26" spans="6:18" x14ac:dyDescent="0.2">
      <c r="F26" s="9"/>
      <c r="G26" s="9"/>
      <c r="I26" s="9"/>
      <c r="J26" s="9"/>
      <c r="K26" s="9"/>
      <c r="L26" s="9"/>
      <c r="M26" s="9"/>
      <c r="Q26" s="9"/>
      <c r="R26" s="20"/>
    </row>
    <row r="27" spans="6:18" x14ac:dyDescent="0.2">
      <c r="F27" s="9"/>
      <c r="G27" s="9"/>
      <c r="I27" s="9"/>
      <c r="J27" s="9"/>
      <c r="K27" s="9"/>
      <c r="L27" s="9"/>
      <c r="M27" s="9"/>
      <c r="Q27" s="9"/>
      <c r="R27" s="20"/>
    </row>
    <row r="28" spans="6:18" x14ac:dyDescent="0.2">
      <c r="F28" s="9"/>
      <c r="G28" s="9"/>
      <c r="I28" s="9"/>
      <c r="J28" s="9"/>
      <c r="K28" s="9"/>
      <c r="L28" s="9"/>
      <c r="M28" s="9"/>
      <c r="Q28" s="9"/>
      <c r="R28" s="20"/>
    </row>
    <row r="29" spans="6:18" x14ac:dyDescent="0.2">
      <c r="F29" s="9"/>
      <c r="G29" s="9"/>
      <c r="I29" s="9"/>
      <c r="J29" s="9"/>
      <c r="K29" s="9"/>
      <c r="L29" s="9"/>
      <c r="M29" s="9"/>
      <c r="Q29" s="9"/>
      <c r="R29" s="20"/>
    </row>
    <row r="30" spans="6:18" x14ac:dyDescent="0.2">
      <c r="F30" s="9"/>
      <c r="G30" s="9"/>
      <c r="I30" s="9"/>
      <c r="J30" s="9"/>
      <c r="K30" s="9"/>
      <c r="L30" s="9"/>
      <c r="M30" s="9"/>
      <c r="Q30" s="9"/>
      <c r="R30" s="20"/>
    </row>
    <row r="31" spans="6:18" x14ac:dyDescent="0.2">
      <c r="F31" s="9"/>
      <c r="G31" s="9"/>
      <c r="I31" s="9"/>
      <c r="J31" s="9"/>
      <c r="K31" s="9"/>
      <c r="L31" s="9"/>
      <c r="M31" s="9"/>
      <c r="Q31" s="9"/>
      <c r="R31" s="20"/>
    </row>
    <row r="32" spans="6:18" x14ac:dyDescent="0.2">
      <c r="F32" s="9"/>
      <c r="G32" s="9"/>
      <c r="I32" s="9"/>
      <c r="J32" s="9"/>
      <c r="K32" s="9"/>
      <c r="L32" s="9"/>
      <c r="M32" s="9"/>
      <c r="Q32" s="9"/>
      <c r="R32" s="20"/>
    </row>
  </sheetData>
  <mergeCells count="2">
    <mergeCell ref="B6:Q6"/>
    <mergeCell ref="E1:R1"/>
  </mergeCells>
  <pageMargins left="0" right="0" top="0.74803149606299213" bottom="0.74803149606299213" header="0.31496062992125984" footer="0.31496062992125984"/>
  <pageSetup paperSize="9" scale="8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>
      <selection activeCell="K4" sqref="K4"/>
    </sheetView>
  </sheetViews>
  <sheetFormatPr defaultColWidth="10.33203125" defaultRowHeight="10.199999999999999" x14ac:dyDescent="0.2"/>
  <cols>
    <col min="1" max="2" width="10.33203125" style="1"/>
    <col min="3" max="3" width="9.5546875" style="1" customWidth="1"/>
    <col min="4" max="5" width="7.109375" style="1" customWidth="1"/>
    <col min="6" max="6" width="7.109375" style="2" customWidth="1"/>
    <col min="7" max="7" width="7.88671875" style="1" customWidth="1"/>
    <col min="8" max="8" width="7.109375" style="9" customWidth="1"/>
    <col min="9" max="9" width="8.88671875" style="2" customWidth="1"/>
    <col min="10" max="10" width="7.88671875" style="1" customWidth="1"/>
    <col min="11" max="11" width="9.5546875" style="1" customWidth="1"/>
    <col min="12" max="16" width="9.6640625" style="2" customWidth="1"/>
    <col min="17" max="17" width="7.109375" style="1" customWidth="1"/>
    <col min="18" max="18" width="11.33203125" style="12" customWidth="1"/>
    <col min="19" max="19" width="9.33203125" style="1" hidden="1" customWidth="1"/>
    <col min="20" max="20" width="4.109375" style="1" hidden="1" customWidth="1"/>
    <col min="21" max="16384" width="10.33203125" style="1"/>
  </cols>
  <sheetData>
    <row r="1" spans="1:25" ht="10.199999999999999" customHeight="1" x14ac:dyDescent="0.2">
      <c r="E1" s="107" t="s">
        <v>68</v>
      </c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</row>
    <row r="2" spans="1:25" x14ac:dyDescent="0.2">
      <c r="N2" s="44"/>
      <c r="O2" s="44"/>
      <c r="P2" s="44"/>
    </row>
    <row r="3" spans="1:25" x14ac:dyDescent="0.2">
      <c r="N3" s="44"/>
      <c r="O3" s="44"/>
      <c r="P3" s="44"/>
    </row>
    <row r="4" spans="1:25" ht="83.25" customHeight="1" x14ac:dyDescent="0.2">
      <c r="A4" s="3" t="s">
        <v>27</v>
      </c>
      <c r="B4" s="3" t="s">
        <v>2</v>
      </c>
      <c r="C4" s="4" t="s">
        <v>3</v>
      </c>
      <c r="D4" s="4" t="s">
        <v>10</v>
      </c>
      <c r="E4" s="4" t="s">
        <v>11</v>
      </c>
      <c r="F4" s="5" t="s">
        <v>0</v>
      </c>
      <c r="G4" s="4" t="s">
        <v>8</v>
      </c>
      <c r="H4" s="6" t="s">
        <v>5</v>
      </c>
      <c r="I4" s="5" t="s">
        <v>4</v>
      </c>
      <c r="J4" s="4" t="s">
        <v>9</v>
      </c>
      <c r="K4" s="6" t="s">
        <v>81</v>
      </c>
      <c r="L4" s="7" t="s">
        <v>43</v>
      </c>
      <c r="M4" s="7" t="s">
        <v>44</v>
      </c>
      <c r="N4" s="38" t="s">
        <v>72</v>
      </c>
      <c r="O4" s="38" t="s">
        <v>70</v>
      </c>
      <c r="P4" s="38" t="s">
        <v>82</v>
      </c>
      <c r="Q4" s="4" t="s">
        <v>69</v>
      </c>
      <c r="R4" s="10" t="s">
        <v>73</v>
      </c>
      <c r="S4" s="14" t="s">
        <v>6</v>
      </c>
      <c r="T4" s="14" t="s">
        <v>7</v>
      </c>
      <c r="U4" s="3" t="s">
        <v>71</v>
      </c>
      <c r="V4" s="3" t="s">
        <v>47</v>
      </c>
      <c r="W4" s="3" t="s">
        <v>56</v>
      </c>
      <c r="X4" s="3" t="s">
        <v>57</v>
      </c>
      <c r="Y4" s="3" t="s">
        <v>7</v>
      </c>
    </row>
    <row r="5" spans="1:25" ht="19.2" customHeight="1" x14ac:dyDescent="0.2">
      <c r="A5" s="3" t="s">
        <v>31</v>
      </c>
      <c r="B5" s="108" t="s">
        <v>48</v>
      </c>
      <c r="C5" s="4">
        <v>0.84</v>
      </c>
      <c r="D5" s="31">
        <v>9.66</v>
      </c>
      <c r="E5" s="31">
        <v>10.92</v>
      </c>
      <c r="F5" s="32">
        <f>(D5*6.5+E5*5.5)/12</f>
        <v>10.237499999999999</v>
      </c>
      <c r="G5" s="31">
        <v>3</v>
      </c>
      <c r="H5" s="51">
        <v>25</v>
      </c>
      <c r="I5" s="52">
        <f>H5/G5</f>
        <v>8.3333333333333339</v>
      </c>
      <c r="J5" s="31">
        <v>6</v>
      </c>
      <c r="K5" s="29">
        <v>2140</v>
      </c>
      <c r="L5" s="30">
        <f>K5/J5</f>
        <v>356.66666666666669</v>
      </c>
      <c r="M5" s="30">
        <f>(L5*F5)/100+(C5*I5)</f>
        <v>43.513750000000002</v>
      </c>
      <c r="N5" s="45">
        <v>43.51</v>
      </c>
      <c r="O5" s="45">
        <f>(F5*L5)/100*N5+C5*I5*N5</f>
        <v>1893.2832624999999</v>
      </c>
      <c r="P5" s="45">
        <f>(F5*K5)/100*N5+C5*H5*N5</f>
        <v>10445.989574999996</v>
      </c>
      <c r="Q5" s="31"/>
      <c r="R5" s="11">
        <f>(F5*Q5*L5)/100+C5*I5*Q5</f>
        <v>0</v>
      </c>
      <c r="S5" s="28"/>
      <c r="T5" s="28"/>
      <c r="U5" s="23">
        <f>(F5*L5)/100*Q5*12+0.06+4334.4</f>
        <v>4334.46</v>
      </c>
      <c r="V5" s="23"/>
      <c r="W5" s="23"/>
      <c r="X5" s="23"/>
      <c r="Y5" s="24">
        <f>V5*12/U5</f>
        <v>0</v>
      </c>
    </row>
    <row r="6" spans="1:25" ht="27" customHeight="1" x14ac:dyDescent="0.2">
      <c r="A6" s="3" t="s">
        <v>32</v>
      </c>
      <c r="B6" s="109"/>
      <c r="C6" s="4">
        <v>0.84</v>
      </c>
      <c r="D6" s="31">
        <v>9.66</v>
      </c>
      <c r="E6" s="31">
        <v>10.92</v>
      </c>
      <c r="F6" s="32">
        <f t="shared" ref="F6:F7" si="0">(D6*6.5+E6*5.5)/12</f>
        <v>10.237499999999999</v>
      </c>
      <c r="G6" s="31"/>
      <c r="H6" s="51"/>
      <c r="I6" s="52"/>
      <c r="J6" s="31">
        <v>6</v>
      </c>
      <c r="K6" s="29">
        <v>700</v>
      </c>
      <c r="L6" s="30">
        <f>K6/J5</f>
        <v>116.66666666666667</v>
      </c>
      <c r="M6" s="30">
        <f>(L6*F6)/100</f>
        <v>11.94375</v>
      </c>
      <c r="N6" s="45">
        <v>43.51</v>
      </c>
      <c r="O6" s="45">
        <f>(F6*L6)/100*N6+C6*I6*N6</f>
        <v>519.67256249999991</v>
      </c>
      <c r="P6" s="45">
        <f>(F6*K6)/100*N6+C6*H6*N6</f>
        <v>3118.0353749999995</v>
      </c>
      <c r="Q6" s="31"/>
      <c r="R6" s="11">
        <f>(F6*Q6*L6)/100+C6*I6*Q6</f>
        <v>0</v>
      </c>
      <c r="S6" s="28"/>
      <c r="T6" s="28"/>
      <c r="U6" s="23">
        <f>(F6*L6)/100*Q6*12-0.04</f>
        <v>-0.04</v>
      </c>
      <c r="V6" s="23"/>
      <c r="W6" s="23"/>
      <c r="X6" s="23"/>
      <c r="Y6" s="24">
        <f>V6*12/U6</f>
        <v>0</v>
      </c>
    </row>
    <row r="7" spans="1:25" ht="40.799999999999997" x14ac:dyDescent="0.2">
      <c r="A7" s="19" t="s">
        <v>29</v>
      </c>
      <c r="B7" s="110"/>
      <c r="C7" s="19">
        <v>0.84</v>
      </c>
      <c r="D7" s="31">
        <v>9.66</v>
      </c>
      <c r="E7" s="31">
        <v>10.92</v>
      </c>
      <c r="F7" s="32">
        <f t="shared" si="0"/>
        <v>10.237499999999999</v>
      </c>
      <c r="G7" s="31"/>
      <c r="H7" s="51"/>
      <c r="I7" s="52"/>
      <c r="J7" s="31">
        <v>6</v>
      </c>
      <c r="K7" s="3">
        <f>K5+K6</f>
        <v>2840</v>
      </c>
      <c r="L7" s="13">
        <f>SUM(L5:L6)</f>
        <v>473.33333333333337</v>
      </c>
      <c r="M7" s="13">
        <f>SUM(M5:M6)</f>
        <v>55.457500000000003</v>
      </c>
      <c r="N7" s="45">
        <v>43.51</v>
      </c>
      <c r="O7" s="45">
        <f>SUM(O5:O6)</f>
        <v>2412.955825</v>
      </c>
      <c r="P7" s="45">
        <f>SUM(P5:P6)</f>
        <v>13564.024949999995</v>
      </c>
      <c r="Q7" s="31"/>
      <c r="R7" s="11">
        <f>R5+R6</f>
        <v>0</v>
      </c>
      <c r="S7" s="11" t="e">
        <f>(#REF!*R5*Q7)/100+D7*J7*R5</f>
        <v>#REF!</v>
      </c>
      <c r="T7" s="11" t="e">
        <f>(#REF!*S5*R7)/100+E7*K7*S5</f>
        <v>#REF!</v>
      </c>
      <c r="U7" s="23">
        <f>U5+U6</f>
        <v>4334.42</v>
      </c>
      <c r="V7" s="23">
        <f>V5+V6</f>
        <v>0</v>
      </c>
      <c r="W7" s="23">
        <f t="shared" ref="W7:X7" si="1">W5+W6</f>
        <v>0</v>
      </c>
      <c r="X7" s="23">
        <f t="shared" si="1"/>
        <v>0</v>
      </c>
      <c r="Y7" s="24">
        <f t="shared" ref="Y7" si="2">V7*12/U7</f>
        <v>0</v>
      </c>
    </row>
    <row r="8" spans="1:25" x14ac:dyDescent="0.2">
      <c r="A8" s="3"/>
      <c r="B8" s="25" t="s">
        <v>26</v>
      </c>
      <c r="C8" s="26">
        <v>0.84</v>
      </c>
      <c r="D8" s="26"/>
      <c r="E8" s="26"/>
      <c r="F8" s="26"/>
      <c r="G8" s="26"/>
      <c r="H8" s="26"/>
      <c r="I8" s="50"/>
      <c r="J8" s="26"/>
      <c r="K8" s="26"/>
      <c r="L8" s="26"/>
      <c r="M8" s="53"/>
      <c r="N8" s="43"/>
      <c r="O8" s="43"/>
      <c r="P8" s="43"/>
      <c r="Q8" s="27"/>
      <c r="R8" s="11">
        <f>R7</f>
        <v>0</v>
      </c>
      <c r="S8" s="11" t="e">
        <f t="shared" ref="S8:T8" si="3">S7</f>
        <v>#REF!</v>
      </c>
      <c r="T8" s="11" t="e">
        <f t="shared" si="3"/>
        <v>#REF!</v>
      </c>
      <c r="U8" s="11">
        <f>U7</f>
        <v>4334.42</v>
      </c>
      <c r="V8" s="11">
        <f>V7</f>
        <v>0</v>
      </c>
      <c r="W8" s="11">
        <f t="shared" ref="W8:X8" si="4">W7</f>
        <v>0</v>
      </c>
      <c r="X8" s="11">
        <f t="shared" si="4"/>
        <v>0</v>
      </c>
      <c r="Y8" s="24">
        <f>V8*12/U8</f>
        <v>0</v>
      </c>
    </row>
    <row r="11" spans="1:25" x14ac:dyDescent="0.2">
      <c r="W11" s="1">
        <v>75600</v>
      </c>
      <c r="X11" s="1" t="s">
        <v>63</v>
      </c>
    </row>
    <row r="12" spans="1:25" x14ac:dyDescent="0.2">
      <c r="U12" s="1" t="s">
        <v>61</v>
      </c>
      <c r="V12" s="1">
        <v>95600</v>
      </c>
      <c r="W12" s="1">
        <v>20000</v>
      </c>
      <c r="X12" s="1" t="s">
        <v>32</v>
      </c>
    </row>
    <row r="14" spans="1:25" x14ac:dyDescent="0.2">
      <c r="U14" s="1" t="s">
        <v>58</v>
      </c>
      <c r="V14" s="35">
        <f>V12-U8</f>
        <v>91265.58</v>
      </c>
    </row>
    <row r="17" spans="15:25" x14ac:dyDescent="0.2">
      <c r="R17" s="12">
        <f>R8*12</f>
        <v>0</v>
      </c>
    </row>
    <row r="18" spans="15:25" x14ac:dyDescent="0.2">
      <c r="V18" s="1" t="e">
        <f>U6/Q6/12</f>
        <v>#DIV/0!</v>
      </c>
    </row>
    <row r="19" spans="15:25" ht="20.399999999999999" x14ac:dyDescent="0.2">
      <c r="X19" s="1" t="s">
        <v>64</v>
      </c>
      <c r="Y19" s="1">
        <v>118560</v>
      </c>
    </row>
    <row r="21" spans="15:25" ht="30.6" x14ac:dyDescent="0.2">
      <c r="O21" s="38" t="s">
        <v>42</v>
      </c>
      <c r="X21" s="2" t="s">
        <v>65</v>
      </c>
      <c r="Y21" s="2">
        <v>98165</v>
      </c>
    </row>
  </sheetData>
  <mergeCells count="2">
    <mergeCell ref="B5:B7"/>
    <mergeCell ref="E1:U1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8"/>
  <sheetViews>
    <sheetView topLeftCell="F1" zoomScale="115" zoomScaleNormal="115" workbookViewId="0">
      <selection activeCell="V30" sqref="V30"/>
    </sheetView>
  </sheetViews>
  <sheetFormatPr defaultColWidth="10.33203125" defaultRowHeight="10.199999999999999" x14ac:dyDescent="0.2"/>
  <cols>
    <col min="1" max="1" width="10.33203125" style="1"/>
    <col min="2" max="2" width="12.5546875" style="1" customWidth="1"/>
    <col min="3" max="3" width="10.33203125" style="1"/>
    <col min="4" max="4" width="9.5546875" style="1" customWidth="1"/>
    <col min="5" max="6" width="7.109375" style="1" customWidth="1"/>
    <col min="7" max="7" width="7.109375" style="2" customWidth="1"/>
    <col min="8" max="8" width="7.88671875" style="1" customWidth="1"/>
    <col min="9" max="9" width="7.109375" style="9" customWidth="1"/>
    <col min="10" max="10" width="9.44140625" style="2" customWidth="1"/>
    <col min="11" max="11" width="7.88671875" style="1" customWidth="1"/>
    <col min="12" max="12" width="9.5546875" style="1" customWidth="1"/>
    <col min="13" max="14" width="9.6640625" style="2" customWidth="1"/>
    <col min="15" max="15" width="7.44140625" style="37" customWidth="1"/>
    <col min="16" max="16" width="9.6640625" style="37" customWidth="1"/>
    <col min="17" max="17" width="10.6640625" style="37" customWidth="1"/>
    <col min="18" max="18" width="7.109375" style="1" customWidth="1"/>
    <col min="19" max="19" width="11.33203125" style="12" customWidth="1"/>
    <col min="20" max="21" width="0" style="1" hidden="1" customWidth="1"/>
    <col min="22" max="22" width="11.109375" style="1" bestFit="1" customWidth="1"/>
    <col min="23" max="24" width="10.88671875" style="1" bestFit="1" customWidth="1"/>
    <col min="25" max="25" width="10.33203125" style="1"/>
    <col min="26" max="26" width="10.88671875" style="1" bestFit="1" customWidth="1"/>
    <col min="27" max="16384" width="10.33203125" style="1"/>
  </cols>
  <sheetData>
    <row r="1" spans="1:26" x14ac:dyDescent="0.2">
      <c r="F1" s="107" t="s">
        <v>68</v>
      </c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</row>
    <row r="4" spans="1:26" ht="84" customHeight="1" x14ac:dyDescent="0.2">
      <c r="A4" s="3" t="s">
        <v>27</v>
      </c>
      <c r="B4" s="3" t="s">
        <v>2</v>
      </c>
      <c r="C4" s="3"/>
      <c r="D4" s="4" t="s">
        <v>3</v>
      </c>
      <c r="E4" s="4" t="s">
        <v>10</v>
      </c>
      <c r="F4" s="4" t="s">
        <v>11</v>
      </c>
      <c r="G4" s="5" t="s">
        <v>0</v>
      </c>
      <c r="H4" s="4" t="s">
        <v>8</v>
      </c>
      <c r="I4" s="6" t="s">
        <v>5</v>
      </c>
      <c r="J4" s="5" t="s">
        <v>4</v>
      </c>
      <c r="K4" s="4" t="s">
        <v>9</v>
      </c>
      <c r="L4" s="6" t="s">
        <v>81</v>
      </c>
      <c r="M4" s="7" t="s">
        <v>1</v>
      </c>
      <c r="N4" s="7" t="s">
        <v>34</v>
      </c>
      <c r="O4" s="38" t="s">
        <v>76</v>
      </c>
      <c r="P4" s="38" t="s">
        <v>77</v>
      </c>
      <c r="Q4" s="38" t="s">
        <v>82</v>
      </c>
      <c r="R4" s="4" t="s">
        <v>78</v>
      </c>
      <c r="S4" s="10" t="s">
        <v>79</v>
      </c>
      <c r="T4" s="14" t="s">
        <v>6</v>
      </c>
      <c r="U4" s="14" t="s">
        <v>7</v>
      </c>
      <c r="V4" s="3" t="s">
        <v>80</v>
      </c>
      <c r="W4" s="3" t="s">
        <v>47</v>
      </c>
      <c r="X4" s="3" t="s">
        <v>56</v>
      </c>
      <c r="Y4" s="3" t="s">
        <v>57</v>
      </c>
      <c r="Z4" s="3" t="s">
        <v>7</v>
      </c>
    </row>
    <row r="5" spans="1:26" ht="20.399999999999999" x14ac:dyDescent="0.2">
      <c r="A5" s="108" t="s">
        <v>62</v>
      </c>
      <c r="B5" s="33" t="s">
        <v>16</v>
      </c>
      <c r="C5" s="33" t="s">
        <v>36</v>
      </c>
      <c r="D5" s="3"/>
      <c r="E5" s="48">
        <v>36.799999999999997</v>
      </c>
      <c r="F5" s="48">
        <v>38.4</v>
      </c>
      <c r="G5" s="13">
        <f>(E5*6.5+F5*5.5)/12+D5</f>
        <v>37.533333333333331</v>
      </c>
      <c r="H5" s="3">
        <v>6</v>
      </c>
      <c r="I5" s="8"/>
      <c r="J5" s="13">
        <v>0</v>
      </c>
      <c r="K5" s="3">
        <v>6</v>
      </c>
      <c r="L5" s="3">
        <v>7909</v>
      </c>
      <c r="M5" s="13">
        <f>L5/K5</f>
        <v>1318.1666666666667</v>
      </c>
      <c r="N5" s="13">
        <f>(G5*M5)/100</f>
        <v>494.75188888888886</v>
      </c>
      <c r="O5" s="39">
        <v>44.68</v>
      </c>
      <c r="P5" s="39">
        <f>(G5*M5)/100*O5</f>
        <v>22105.514395555554</v>
      </c>
      <c r="Q5" s="39">
        <f>(L5*G5)/100*O5</f>
        <v>132633.08637333332</v>
      </c>
      <c r="R5" s="3">
        <v>44.76</v>
      </c>
      <c r="S5" s="11">
        <f>(G5*R5*M5)/100+D5*J5*R5</f>
        <v>22145.094546666664</v>
      </c>
      <c r="V5" s="16">
        <f>(G5*M5)/100*R5*12</f>
        <v>265741.13455999998</v>
      </c>
      <c r="W5" s="16">
        <f>V5</f>
        <v>265741.13455999998</v>
      </c>
      <c r="X5" s="16">
        <f>W5</f>
        <v>265741.13455999998</v>
      </c>
      <c r="Y5" s="16">
        <f>X5</f>
        <v>265741.13455999998</v>
      </c>
      <c r="Z5" s="3">
        <f>W5*12/V5</f>
        <v>12</v>
      </c>
    </row>
    <row r="6" spans="1:26" ht="20.399999999999999" x14ac:dyDescent="0.2">
      <c r="A6" s="109"/>
      <c r="B6" s="8" t="s">
        <v>20</v>
      </c>
      <c r="C6" s="33" t="s">
        <v>36</v>
      </c>
      <c r="D6" s="3"/>
      <c r="E6" s="48">
        <v>36.799999999999997</v>
      </c>
      <c r="F6" s="48">
        <v>41.6</v>
      </c>
      <c r="G6" s="13">
        <f t="shared" ref="G6:G15" si="0">(E6*6.5+F6*5.5)/12+D6</f>
        <v>39</v>
      </c>
      <c r="H6" s="3"/>
      <c r="I6" s="8"/>
      <c r="J6" s="13">
        <v>0</v>
      </c>
      <c r="K6" s="3">
        <v>1</v>
      </c>
      <c r="L6" s="3">
        <v>100</v>
      </c>
      <c r="M6" s="13">
        <f t="shared" ref="M6:M17" si="1">L6/K6</f>
        <v>100</v>
      </c>
      <c r="N6" s="13">
        <f t="shared" ref="N6:N17" si="2">(G6*M6)/100</f>
        <v>39</v>
      </c>
      <c r="O6" s="39">
        <v>44.68</v>
      </c>
      <c r="P6" s="39">
        <f t="shared" ref="P6:P15" si="3">(G6*M6)/100*O6</f>
        <v>1742.52</v>
      </c>
      <c r="Q6" s="39">
        <f t="shared" ref="Q6:Q14" si="4">(L6*G6)/100*O6</f>
        <v>1742.52</v>
      </c>
      <c r="R6" s="3">
        <v>44.76</v>
      </c>
      <c r="S6" s="11">
        <f>(G6*R6*M6)/100+D6*J6*R6</f>
        <v>1745.64</v>
      </c>
      <c r="V6" s="16">
        <f t="shared" ref="V6:V15" si="5">(G6*M6)/100*R6*12</f>
        <v>20947.68</v>
      </c>
      <c r="W6" s="16">
        <f t="shared" ref="W6:Y15" si="6">V6</f>
        <v>20947.68</v>
      </c>
      <c r="X6" s="16">
        <f t="shared" si="6"/>
        <v>20947.68</v>
      </c>
      <c r="Y6" s="16">
        <f t="shared" si="6"/>
        <v>20947.68</v>
      </c>
      <c r="Z6" s="3">
        <f t="shared" ref="Z6:Z17" si="7">W6*12/V6</f>
        <v>12</v>
      </c>
    </row>
    <row r="7" spans="1:26" ht="20.399999999999999" x14ac:dyDescent="0.2">
      <c r="A7" s="109"/>
      <c r="B7" s="8" t="s">
        <v>50</v>
      </c>
      <c r="C7" s="33" t="s">
        <v>39</v>
      </c>
      <c r="D7" s="3"/>
      <c r="E7" s="48">
        <v>9.7899999999999991</v>
      </c>
      <c r="F7" s="48">
        <v>11.26</v>
      </c>
      <c r="G7" s="13">
        <f t="shared" si="0"/>
        <v>10.463749999999999</v>
      </c>
      <c r="H7" s="3">
        <v>6</v>
      </c>
      <c r="I7" s="8"/>
      <c r="J7" s="13">
        <v>0</v>
      </c>
      <c r="K7" s="3">
        <v>6</v>
      </c>
      <c r="L7" s="3">
        <v>7873</v>
      </c>
      <c r="M7" s="13">
        <f t="shared" si="1"/>
        <v>1312.1666666666667</v>
      </c>
      <c r="N7" s="13">
        <f t="shared" si="2"/>
        <v>137.30183958333333</v>
      </c>
      <c r="O7" s="39">
        <v>44.68</v>
      </c>
      <c r="P7" s="39">
        <f t="shared" si="3"/>
        <v>6134.6461925833337</v>
      </c>
      <c r="Q7" s="39">
        <f t="shared" si="4"/>
        <v>36807.877155499998</v>
      </c>
      <c r="R7" s="3">
        <v>44.76</v>
      </c>
      <c r="S7" s="11">
        <f t="shared" ref="S7:S13" si="8">(G7*R7*M7)/100+D7*J7*R7</f>
        <v>6145.6303397500005</v>
      </c>
      <c r="V7" s="16">
        <f t="shared" si="5"/>
        <v>73747.564076999988</v>
      </c>
      <c r="W7" s="16">
        <f t="shared" si="6"/>
        <v>73747.564076999988</v>
      </c>
      <c r="X7" s="16">
        <f t="shared" si="6"/>
        <v>73747.564076999988</v>
      </c>
      <c r="Y7" s="16">
        <f t="shared" si="6"/>
        <v>73747.564076999988</v>
      </c>
      <c r="Z7" s="3">
        <f>W7*12/V7</f>
        <v>12</v>
      </c>
    </row>
    <row r="8" spans="1:26" ht="20.399999999999999" x14ac:dyDescent="0.2">
      <c r="A8" s="109"/>
      <c r="B8" s="8" t="s">
        <v>51</v>
      </c>
      <c r="C8" s="33" t="s">
        <v>39</v>
      </c>
      <c r="D8" s="3"/>
      <c r="E8" s="48">
        <v>10.63</v>
      </c>
      <c r="F8" s="48">
        <v>10.63</v>
      </c>
      <c r="G8" s="13">
        <f t="shared" si="0"/>
        <v>10.63</v>
      </c>
      <c r="H8" s="3"/>
      <c r="I8" s="8"/>
      <c r="J8" s="13">
        <v>0</v>
      </c>
      <c r="K8" s="3">
        <v>1</v>
      </c>
      <c r="L8" s="3">
        <v>1490</v>
      </c>
      <c r="M8" s="13">
        <f t="shared" si="1"/>
        <v>1490</v>
      </c>
      <c r="N8" s="13">
        <f t="shared" si="2"/>
        <v>158.387</v>
      </c>
      <c r="O8" s="39">
        <v>44.68</v>
      </c>
      <c r="P8" s="39">
        <f t="shared" si="3"/>
        <v>7076.7311600000003</v>
      </c>
      <c r="Q8" s="39">
        <f t="shared" si="4"/>
        <v>7076.7311600000003</v>
      </c>
      <c r="R8" s="3">
        <v>44.76</v>
      </c>
      <c r="S8" s="11">
        <f t="shared" si="8"/>
        <v>7089.4021200000007</v>
      </c>
      <c r="V8" s="16">
        <f t="shared" si="5"/>
        <v>85072.825440000001</v>
      </c>
      <c r="W8" s="16">
        <f t="shared" si="6"/>
        <v>85072.825440000001</v>
      </c>
      <c r="X8" s="16">
        <f t="shared" si="6"/>
        <v>85072.825440000001</v>
      </c>
      <c r="Y8" s="16">
        <f t="shared" si="6"/>
        <v>85072.825440000001</v>
      </c>
      <c r="Z8" s="3">
        <f t="shared" si="7"/>
        <v>12</v>
      </c>
    </row>
    <row r="9" spans="1:26" x14ac:dyDescent="0.2">
      <c r="A9" s="109"/>
      <c r="B9" s="8" t="s">
        <v>22</v>
      </c>
      <c r="C9" s="33" t="s">
        <v>36</v>
      </c>
      <c r="D9" s="3"/>
      <c r="E9" s="48">
        <v>36.799999999999997</v>
      </c>
      <c r="F9" s="48">
        <v>38.4</v>
      </c>
      <c r="G9" s="13">
        <f t="shared" si="0"/>
        <v>37.533333333333331</v>
      </c>
      <c r="H9" s="3">
        <v>4</v>
      </c>
      <c r="I9" s="8"/>
      <c r="J9" s="13">
        <v>0</v>
      </c>
      <c r="K9" s="3">
        <v>4</v>
      </c>
      <c r="L9" s="3">
        <v>4852</v>
      </c>
      <c r="M9" s="13">
        <f t="shared" si="1"/>
        <v>1213</v>
      </c>
      <c r="N9" s="13">
        <f t="shared" si="2"/>
        <v>455.27933333333334</v>
      </c>
      <c r="O9" s="39">
        <v>44.68</v>
      </c>
      <c r="P9" s="39">
        <f t="shared" si="3"/>
        <v>20341.880613333335</v>
      </c>
      <c r="Q9" s="39">
        <f t="shared" si="4"/>
        <v>81367.522453333338</v>
      </c>
      <c r="R9" s="3">
        <v>44.76</v>
      </c>
      <c r="S9" s="11">
        <f t="shared" si="8"/>
        <v>20378.302959999997</v>
      </c>
      <c r="V9" s="16">
        <f t="shared" si="5"/>
        <v>244539.63552000001</v>
      </c>
      <c r="W9" s="16">
        <f t="shared" si="6"/>
        <v>244539.63552000001</v>
      </c>
      <c r="X9" s="16">
        <f t="shared" si="6"/>
        <v>244539.63552000001</v>
      </c>
      <c r="Y9" s="16">
        <f t="shared" si="6"/>
        <v>244539.63552000001</v>
      </c>
      <c r="Z9" s="3">
        <f t="shared" si="7"/>
        <v>12</v>
      </c>
    </row>
    <row r="10" spans="1:26" ht="20.399999999999999" x14ac:dyDescent="0.2">
      <c r="A10" s="109"/>
      <c r="B10" s="8" t="s">
        <v>21</v>
      </c>
      <c r="C10" s="33" t="s">
        <v>36</v>
      </c>
      <c r="D10" s="3"/>
      <c r="E10" s="48">
        <v>36.799999999999997</v>
      </c>
      <c r="F10" s="48">
        <v>38.4</v>
      </c>
      <c r="G10" s="13">
        <f t="shared" si="0"/>
        <v>37.533333333333331</v>
      </c>
      <c r="H10" s="3"/>
      <c r="I10" s="8"/>
      <c r="J10" s="13">
        <v>0</v>
      </c>
      <c r="K10" s="3">
        <v>4</v>
      </c>
      <c r="L10" s="3">
        <v>100</v>
      </c>
      <c r="M10" s="13">
        <f t="shared" si="1"/>
        <v>25</v>
      </c>
      <c r="N10" s="13">
        <f t="shared" si="2"/>
        <v>9.3833333333333329</v>
      </c>
      <c r="O10" s="39">
        <v>44.68</v>
      </c>
      <c r="P10" s="39">
        <f t="shared" si="3"/>
        <v>419.2473333333333</v>
      </c>
      <c r="Q10" s="39">
        <f t="shared" si="4"/>
        <v>1676.9893333333332</v>
      </c>
      <c r="R10" s="3">
        <v>44.76</v>
      </c>
      <c r="S10" s="11">
        <f t="shared" si="8"/>
        <v>419.99799999999993</v>
      </c>
      <c r="V10" s="16">
        <f t="shared" si="5"/>
        <v>5039.9759999999987</v>
      </c>
      <c r="W10" s="16">
        <f t="shared" si="6"/>
        <v>5039.9759999999987</v>
      </c>
      <c r="X10" s="16">
        <f t="shared" si="6"/>
        <v>5039.9759999999987</v>
      </c>
      <c r="Y10" s="16">
        <f t="shared" si="6"/>
        <v>5039.9759999999987</v>
      </c>
      <c r="Z10" s="3">
        <f t="shared" si="7"/>
        <v>12</v>
      </c>
    </row>
    <row r="11" spans="1:26" ht="20.399999999999999" x14ac:dyDescent="0.2">
      <c r="A11" s="109"/>
      <c r="B11" s="8" t="s">
        <v>23</v>
      </c>
      <c r="C11" s="33" t="s">
        <v>40</v>
      </c>
      <c r="D11" s="3"/>
      <c r="E11" s="48">
        <v>19.55</v>
      </c>
      <c r="F11" s="48">
        <v>22.1</v>
      </c>
      <c r="G11" s="13">
        <f t="shared" si="0"/>
        <v>20.71875</v>
      </c>
      <c r="H11" s="3">
        <v>6</v>
      </c>
      <c r="I11" s="8"/>
      <c r="J11" s="13">
        <v>0</v>
      </c>
      <c r="K11" s="3">
        <v>6</v>
      </c>
      <c r="L11" s="3">
        <v>7266</v>
      </c>
      <c r="M11" s="13">
        <f t="shared" si="1"/>
        <v>1211</v>
      </c>
      <c r="N11" s="13">
        <f t="shared" si="2"/>
        <v>250.90406250000001</v>
      </c>
      <c r="O11" s="39">
        <v>44.68</v>
      </c>
      <c r="P11" s="39">
        <f t="shared" si="3"/>
        <v>11210.393512500001</v>
      </c>
      <c r="Q11" s="39">
        <f t="shared" si="4"/>
        <v>67262.361075000008</v>
      </c>
      <c r="R11" s="3">
        <v>44.76</v>
      </c>
      <c r="S11" s="11">
        <f t="shared" si="8"/>
        <v>11230.4658375</v>
      </c>
      <c r="V11" s="16">
        <f t="shared" si="5"/>
        <v>134765.59005</v>
      </c>
      <c r="W11" s="16">
        <f t="shared" si="6"/>
        <v>134765.59005</v>
      </c>
      <c r="X11" s="16">
        <f t="shared" si="6"/>
        <v>134765.59005</v>
      </c>
      <c r="Y11" s="16">
        <f t="shared" si="6"/>
        <v>134765.59005</v>
      </c>
      <c r="Z11" s="3">
        <f t="shared" si="7"/>
        <v>12</v>
      </c>
    </row>
    <row r="12" spans="1:26" ht="20.399999999999999" x14ac:dyDescent="0.2">
      <c r="A12" s="109"/>
      <c r="B12" s="8" t="s">
        <v>24</v>
      </c>
      <c r="C12" s="33" t="s">
        <v>41</v>
      </c>
      <c r="D12" s="3"/>
      <c r="E12" s="48">
        <v>28.2</v>
      </c>
      <c r="F12" s="48">
        <v>31.9</v>
      </c>
      <c r="G12" s="13">
        <f t="shared" si="0"/>
        <v>29.895833333333332</v>
      </c>
      <c r="H12" s="3">
        <v>1</v>
      </c>
      <c r="I12" s="8"/>
      <c r="J12" s="13">
        <v>0</v>
      </c>
      <c r="K12" s="3">
        <v>1</v>
      </c>
      <c r="L12" s="3">
        <v>150</v>
      </c>
      <c r="M12" s="13">
        <f t="shared" si="1"/>
        <v>150</v>
      </c>
      <c r="N12" s="13">
        <f>(G12*M12)/100</f>
        <v>44.84375</v>
      </c>
      <c r="O12" s="39">
        <v>44.68</v>
      </c>
      <c r="P12" s="39">
        <f t="shared" si="3"/>
        <v>2003.6187500000001</v>
      </c>
      <c r="Q12" s="39">
        <f t="shared" si="4"/>
        <v>2003.6187500000001</v>
      </c>
      <c r="R12" s="3">
        <v>44.76</v>
      </c>
      <c r="S12" s="11">
        <f t="shared" si="8"/>
        <v>2007.2062499999997</v>
      </c>
      <c r="V12" s="16">
        <f t="shared" si="5"/>
        <v>24086.474999999999</v>
      </c>
      <c r="W12" s="16">
        <f t="shared" si="6"/>
        <v>24086.474999999999</v>
      </c>
      <c r="X12" s="16">
        <f t="shared" si="6"/>
        <v>24086.474999999999</v>
      </c>
      <c r="Y12" s="16">
        <f t="shared" si="6"/>
        <v>24086.474999999999</v>
      </c>
      <c r="Z12" s="3">
        <f t="shared" si="7"/>
        <v>11.999999999999998</v>
      </c>
    </row>
    <row r="13" spans="1:26" ht="20.399999999999999" x14ac:dyDescent="0.2">
      <c r="A13" s="109"/>
      <c r="B13" s="8" t="s">
        <v>52</v>
      </c>
      <c r="C13" s="33" t="s">
        <v>36</v>
      </c>
      <c r="D13" s="3">
        <v>4</v>
      </c>
      <c r="E13" s="48">
        <v>26.88</v>
      </c>
      <c r="F13" s="48">
        <v>32.380000000000003</v>
      </c>
      <c r="G13" s="13">
        <f t="shared" si="0"/>
        <v>33.400833333333338</v>
      </c>
      <c r="H13" s="3">
        <v>6</v>
      </c>
      <c r="I13" s="8"/>
      <c r="J13" s="13">
        <v>0</v>
      </c>
      <c r="K13" s="3">
        <v>6</v>
      </c>
      <c r="L13" s="3">
        <v>9256</v>
      </c>
      <c r="M13" s="13">
        <f>L13/K13</f>
        <v>1542.6666666666667</v>
      </c>
      <c r="N13" s="13">
        <f t="shared" si="2"/>
        <v>515.26352222222226</v>
      </c>
      <c r="O13" s="39">
        <v>54.21</v>
      </c>
      <c r="P13" s="39">
        <f>(G13*M13)/100*O13</f>
        <v>27932.435539666669</v>
      </c>
      <c r="Q13" s="39">
        <f t="shared" si="4"/>
        <v>167594.61323800005</v>
      </c>
      <c r="R13" s="3">
        <v>59.25</v>
      </c>
      <c r="S13" s="11">
        <f t="shared" si="8"/>
        <v>30529.363691666673</v>
      </c>
      <c r="V13" s="16">
        <f t="shared" si="5"/>
        <v>366352.36430000002</v>
      </c>
      <c r="W13" s="16">
        <f t="shared" si="6"/>
        <v>366352.36430000002</v>
      </c>
      <c r="X13" s="16">
        <f t="shared" si="6"/>
        <v>366352.36430000002</v>
      </c>
      <c r="Y13" s="16">
        <f t="shared" si="6"/>
        <v>366352.36430000002</v>
      </c>
      <c r="Z13" s="3">
        <f t="shared" si="7"/>
        <v>12</v>
      </c>
    </row>
    <row r="14" spans="1:26" ht="20.399999999999999" x14ac:dyDescent="0.2">
      <c r="A14" s="109"/>
      <c r="B14" s="8" t="s">
        <v>53</v>
      </c>
      <c r="C14" s="33" t="s">
        <v>36</v>
      </c>
      <c r="D14" s="3"/>
      <c r="E14" s="48">
        <v>13.65</v>
      </c>
      <c r="F14" s="48">
        <v>17.190000000000001</v>
      </c>
      <c r="G14" s="13">
        <f>(E14*6.5+F14*5.5)/12+D14</f>
        <v>15.272500000000001</v>
      </c>
      <c r="H14" s="3">
        <v>6</v>
      </c>
      <c r="I14" s="8"/>
      <c r="J14" s="13">
        <v>0</v>
      </c>
      <c r="K14" s="3">
        <v>6</v>
      </c>
      <c r="L14" s="3">
        <v>18997</v>
      </c>
      <c r="M14" s="13">
        <f t="shared" si="1"/>
        <v>3166.1666666666665</v>
      </c>
      <c r="N14" s="13">
        <f t="shared" si="2"/>
        <v>483.5528041666667</v>
      </c>
      <c r="O14" s="39">
        <v>44.68</v>
      </c>
      <c r="P14" s="39">
        <f t="shared" si="3"/>
        <v>21605.13929016667</v>
      </c>
      <c r="Q14" s="39">
        <f t="shared" si="4"/>
        <v>129630.83574099999</v>
      </c>
      <c r="R14" s="3">
        <v>44.76</v>
      </c>
      <c r="S14" s="11">
        <f>(G14*R14*M14)/100+D14*J14*R14</f>
        <v>21643.8235145</v>
      </c>
      <c r="V14" s="16">
        <f>(G14*M14)/100*R14*12</f>
        <v>259725.882174</v>
      </c>
      <c r="W14" s="16">
        <f t="shared" si="6"/>
        <v>259725.882174</v>
      </c>
      <c r="X14" s="16">
        <f t="shared" si="6"/>
        <v>259725.882174</v>
      </c>
      <c r="Y14" s="16">
        <f t="shared" si="6"/>
        <v>259725.882174</v>
      </c>
      <c r="Z14" s="3">
        <f t="shared" si="7"/>
        <v>12</v>
      </c>
    </row>
    <row r="15" spans="1:26" ht="24.6" customHeight="1" x14ac:dyDescent="0.2">
      <c r="A15" s="109"/>
      <c r="B15" s="33" t="s">
        <v>17</v>
      </c>
      <c r="C15" s="33" t="s">
        <v>38</v>
      </c>
      <c r="D15" s="3"/>
      <c r="E15" s="48">
        <v>32.200000000000003</v>
      </c>
      <c r="F15" s="48">
        <v>36.4</v>
      </c>
      <c r="G15" s="13">
        <f t="shared" si="0"/>
        <v>34.125</v>
      </c>
      <c r="H15" s="3">
        <v>2</v>
      </c>
      <c r="I15" s="8"/>
      <c r="J15" s="13">
        <v>0</v>
      </c>
      <c r="K15" s="3">
        <v>2</v>
      </c>
      <c r="L15" s="3">
        <v>323</v>
      </c>
      <c r="M15" s="13">
        <f t="shared" si="1"/>
        <v>161.5</v>
      </c>
      <c r="N15" s="13">
        <f t="shared" si="2"/>
        <v>55.111874999999998</v>
      </c>
      <c r="O15" s="39">
        <v>44.68</v>
      </c>
      <c r="P15" s="39">
        <f t="shared" si="3"/>
        <v>2462.3985749999997</v>
      </c>
      <c r="Q15" s="39">
        <f>(L15*G15)/100*O15</f>
        <v>4924.7971499999994</v>
      </c>
      <c r="R15" s="3">
        <v>44.76</v>
      </c>
      <c r="S15" s="11">
        <f>(G15*R15*M15)/100+D15*J15*R15</f>
        <v>2466.8075250000002</v>
      </c>
      <c r="V15" s="16">
        <f t="shared" si="5"/>
        <v>29601.690299999995</v>
      </c>
      <c r="W15" s="16">
        <f t="shared" si="6"/>
        <v>29601.690299999995</v>
      </c>
      <c r="X15" s="16">
        <f t="shared" si="6"/>
        <v>29601.690299999995</v>
      </c>
      <c r="Y15" s="16">
        <f t="shared" si="6"/>
        <v>29601.690299999995</v>
      </c>
      <c r="Z15" s="3">
        <f>W15*12/V15</f>
        <v>12.000000000000002</v>
      </c>
    </row>
    <row r="16" spans="1:26" ht="27.75" customHeight="1" x14ac:dyDescent="0.2">
      <c r="A16" s="109"/>
      <c r="B16" s="33" t="s">
        <v>18</v>
      </c>
      <c r="C16" s="33" t="s">
        <v>36</v>
      </c>
      <c r="D16" s="48">
        <v>2</v>
      </c>
      <c r="E16" s="48">
        <v>24.04</v>
      </c>
      <c r="F16" s="48">
        <v>26.15</v>
      </c>
      <c r="G16" s="13">
        <f>(E16*6.5+F16*5.5)/12</f>
        <v>25.00708333333333</v>
      </c>
      <c r="H16" s="48">
        <v>6</v>
      </c>
      <c r="I16" s="49">
        <v>177</v>
      </c>
      <c r="J16" s="13">
        <f>I16/H16</f>
        <v>29.5</v>
      </c>
      <c r="K16" s="3">
        <v>6</v>
      </c>
      <c r="L16" s="3">
        <v>4549</v>
      </c>
      <c r="M16" s="13">
        <f>L16/K16</f>
        <v>758.16666666666663</v>
      </c>
      <c r="N16" s="13">
        <f>(G16*M16)/100+(J16*D16)</f>
        <v>248.59537013888885</v>
      </c>
      <c r="O16" s="39">
        <v>56.72</v>
      </c>
      <c r="P16" s="39">
        <f>(G16*M16)/100*O16+D16*J16*O16</f>
        <v>14100.329394277775</v>
      </c>
      <c r="Q16" s="39">
        <f>(G16*L16)/100*O16+D16*I16*O16</f>
        <v>84601.976365666662</v>
      </c>
      <c r="R16" s="3">
        <v>59.25</v>
      </c>
      <c r="S16" s="11">
        <f>(G16*M16)/100*R16+D16*J16*R16</f>
        <v>14729.275680729164</v>
      </c>
      <c r="V16" s="16">
        <f>(G16*M16)/100*R16*12+D16*J16*R16*12</f>
        <v>176751.30816874997</v>
      </c>
      <c r="W16" s="16">
        <f>V16</f>
        <v>176751.30816874997</v>
      </c>
      <c r="X16" s="16">
        <f>W16</f>
        <v>176751.30816874997</v>
      </c>
      <c r="Y16" s="16">
        <f>X16</f>
        <v>176751.30816874997</v>
      </c>
      <c r="Z16" s="3">
        <f t="shared" si="7"/>
        <v>11.999999999999998</v>
      </c>
    </row>
    <row r="17" spans="1:26" ht="27.75" customHeight="1" x14ac:dyDescent="0.2">
      <c r="A17" s="109"/>
      <c r="B17" s="33" t="s">
        <v>30</v>
      </c>
      <c r="C17" s="33" t="s">
        <v>36</v>
      </c>
      <c r="D17" s="15"/>
      <c r="E17" s="48">
        <v>33.6</v>
      </c>
      <c r="F17" s="48">
        <v>38.4</v>
      </c>
      <c r="G17" s="13">
        <f>(E17*6.5+F17*5.5)/12</f>
        <v>35.800000000000004</v>
      </c>
      <c r="H17" s="48">
        <v>6</v>
      </c>
      <c r="I17" s="49"/>
      <c r="J17" s="13">
        <v>0</v>
      </c>
      <c r="K17" s="3">
        <v>6</v>
      </c>
      <c r="L17" s="3">
        <v>8436</v>
      </c>
      <c r="M17" s="13">
        <f t="shared" si="1"/>
        <v>1406</v>
      </c>
      <c r="N17" s="13">
        <f t="shared" si="2"/>
        <v>503.34800000000001</v>
      </c>
      <c r="O17" s="39">
        <v>44.68</v>
      </c>
      <c r="P17" s="39">
        <f>(G17*M17)/100*O17</f>
        <v>22489.588640000002</v>
      </c>
      <c r="Q17" s="39">
        <f t="shared" ref="Q17" si="9">(L17*G17)/100*O17</f>
        <v>134937.53184000004</v>
      </c>
      <c r="R17" s="3">
        <v>44.76</v>
      </c>
      <c r="S17" s="11">
        <f>(G17*M17)/100*R17+D17*J17*R17</f>
        <v>22529.856479999999</v>
      </c>
      <c r="V17" s="16">
        <f>(G17*M17)/100*R17*12+D17*J17*R17*12</f>
        <v>270358.27775999997</v>
      </c>
      <c r="W17" s="16">
        <f t="shared" ref="W17:Y22" si="10">V17</f>
        <v>270358.27775999997</v>
      </c>
      <c r="X17" s="16">
        <f t="shared" si="10"/>
        <v>270358.27775999997</v>
      </c>
      <c r="Y17" s="16">
        <f t="shared" si="10"/>
        <v>270358.27775999997</v>
      </c>
      <c r="Z17" s="3">
        <f t="shared" si="7"/>
        <v>12</v>
      </c>
    </row>
    <row r="18" spans="1:26" ht="23.25" customHeight="1" x14ac:dyDescent="0.2">
      <c r="A18" s="109"/>
      <c r="B18" s="3" t="s">
        <v>19</v>
      </c>
      <c r="C18" s="3" t="s">
        <v>37</v>
      </c>
      <c r="D18" s="48">
        <v>9.8000000000000007</v>
      </c>
      <c r="E18" s="48"/>
      <c r="F18" s="48"/>
      <c r="G18" s="13">
        <f>(E18*6.5+F18*5.5)/12+D18</f>
        <v>9.8000000000000007</v>
      </c>
      <c r="H18" s="48">
        <v>1</v>
      </c>
      <c r="I18" s="49">
        <v>20</v>
      </c>
      <c r="J18" s="13">
        <f>I18/H18</f>
        <v>20</v>
      </c>
      <c r="K18" s="3">
        <v>1</v>
      </c>
      <c r="L18" s="3"/>
      <c r="M18" s="13">
        <v>0</v>
      </c>
      <c r="N18" s="13">
        <f>J18*D18</f>
        <v>196</v>
      </c>
      <c r="O18" s="39">
        <v>56.72</v>
      </c>
      <c r="P18" s="39">
        <f>(G18*M18)/100*O18+D18*J18*O18</f>
        <v>11117.119999999999</v>
      </c>
      <c r="Q18" s="39">
        <f>(G18*L18)/100*O18+D18*I18*O18</f>
        <v>11117.119999999999</v>
      </c>
      <c r="R18" s="3">
        <v>59.25</v>
      </c>
      <c r="S18" s="11">
        <f t="shared" ref="S18:S19" si="11">(G18*R18*M18)/100+D18*J18*R18</f>
        <v>11613</v>
      </c>
      <c r="V18" s="16">
        <f>(G18*J18)*R18*12</f>
        <v>139356</v>
      </c>
      <c r="W18" s="16">
        <f t="shared" si="10"/>
        <v>139356</v>
      </c>
      <c r="X18" s="16">
        <f t="shared" si="10"/>
        <v>139356</v>
      </c>
      <c r="Y18" s="16">
        <f t="shared" si="10"/>
        <v>139356</v>
      </c>
      <c r="Z18" s="3">
        <f>W18*12/V18</f>
        <v>12</v>
      </c>
    </row>
    <row r="19" spans="1:26" ht="23.25" customHeight="1" x14ac:dyDescent="0.2">
      <c r="A19" s="109"/>
      <c r="B19" s="3" t="s">
        <v>35</v>
      </c>
      <c r="C19" s="3" t="s">
        <v>37</v>
      </c>
      <c r="D19" s="48">
        <v>9.8000000000000007</v>
      </c>
      <c r="E19" s="48"/>
      <c r="F19" s="48"/>
      <c r="G19" s="13">
        <v>9.8000000000000007</v>
      </c>
      <c r="H19" s="48">
        <v>3</v>
      </c>
      <c r="I19" s="49">
        <v>20</v>
      </c>
      <c r="J19" s="13">
        <f>I19/H19</f>
        <v>6.666666666666667</v>
      </c>
      <c r="K19" s="3">
        <v>3</v>
      </c>
      <c r="L19" s="3"/>
      <c r="M19" s="13">
        <v>0</v>
      </c>
      <c r="N19" s="13">
        <f>J19*D19</f>
        <v>65.333333333333343</v>
      </c>
      <c r="O19" s="39">
        <v>56.72</v>
      </c>
      <c r="P19" s="39">
        <f>(G19*M19)/100*O19+D19*J19*O19</f>
        <v>3705.7066666666669</v>
      </c>
      <c r="Q19" s="39">
        <f>(G19*L19)/100*O19+D19*I19*O19</f>
        <v>11117.119999999999</v>
      </c>
      <c r="R19" s="3">
        <v>59.25</v>
      </c>
      <c r="S19" s="11">
        <f t="shared" si="11"/>
        <v>3871.0000000000005</v>
      </c>
      <c r="V19" s="16">
        <f>(G19*J19)*R19*12</f>
        <v>46452.000000000007</v>
      </c>
      <c r="W19" s="16">
        <f t="shared" si="10"/>
        <v>46452.000000000007</v>
      </c>
      <c r="X19" s="16">
        <f t="shared" si="10"/>
        <v>46452.000000000007</v>
      </c>
      <c r="Y19" s="16">
        <f t="shared" si="10"/>
        <v>46452.000000000007</v>
      </c>
      <c r="Z19" s="3">
        <f t="shared" ref="Z19:Z20" si="12">W19*12/V19</f>
        <v>12</v>
      </c>
    </row>
    <row r="20" spans="1:26" ht="23.25" customHeight="1" x14ac:dyDescent="0.2">
      <c r="A20" s="112"/>
      <c r="B20" s="56" t="s">
        <v>46</v>
      </c>
      <c r="C20" s="57" t="s">
        <v>36</v>
      </c>
      <c r="D20" s="58"/>
      <c r="E20" s="59">
        <v>33.6</v>
      </c>
      <c r="F20" s="59">
        <v>38.4</v>
      </c>
      <c r="G20" s="60">
        <f>(E20*6.5+F20*5.5)/12</f>
        <v>35.800000000000004</v>
      </c>
      <c r="H20" s="61">
        <v>6</v>
      </c>
      <c r="I20" s="62"/>
      <c r="J20" s="13">
        <f t="shared" ref="J20:J22" si="13">I20/H20</f>
        <v>0</v>
      </c>
      <c r="K20" s="63">
        <v>6</v>
      </c>
      <c r="L20" s="57">
        <v>8819</v>
      </c>
      <c r="M20" s="60">
        <f>L20/K20</f>
        <v>1469.8333333333333</v>
      </c>
      <c r="N20" s="60">
        <f>(G20*M20)/100</f>
        <v>526.20033333333345</v>
      </c>
      <c r="O20" s="64">
        <v>44.68</v>
      </c>
      <c r="P20" s="64">
        <f>(G20*M20)/100*O20</f>
        <v>23510.630893333338</v>
      </c>
      <c r="Q20" s="47">
        <f>(L20*G20)/100*O20</f>
        <v>141063.78536000001</v>
      </c>
      <c r="R20" s="65">
        <v>44.76</v>
      </c>
      <c r="S20" s="66">
        <f>(G20*R20*M20)/100+D20*J20*R20</f>
        <v>23552.726920000001</v>
      </c>
      <c r="V20" s="67">
        <f>(G20*M20)/100*R20*12</f>
        <v>282632.72304000007</v>
      </c>
      <c r="W20" s="67">
        <f t="shared" si="10"/>
        <v>282632.72304000007</v>
      </c>
      <c r="X20" s="67">
        <f t="shared" si="10"/>
        <v>282632.72304000007</v>
      </c>
      <c r="Y20" s="67">
        <f t="shared" si="10"/>
        <v>282632.72304000007</v>
      </c>
      <c r="Z20" s="57">
        <f t="shared" si="12"/>
        <v>12</v>
      </c>
    </row>
    <row r="21" spans="1:26" ht="23.25" customHeight="1" x14ac:dyDescent="0.2">
      <c r="A21" s="112"/>
      <c r="B21" s="3" t="s">
        <v>74</v>
      </c>
      <c r="C21" s="3" t="s">
        <v>36</v>
      </c>
      <c r="D21" s="15"/>
      <c r="E21" s="48">
        <v>26.88</v>
      </c>
      <c r="F21" s="48">
        <v>30.11</v>
      </c>
      <c r="G21" s="60">
        <f t="shared" ref="G21:G22" si="14">(E21*6.5+F21*5.5)/12</f>
        <v>28.360416666666666</v>
      </c>
      <c r="H21" s="48">
        <v>3</v>
      </c>
      <c r="I21" s="49"/>
      <c r="J21" s="13">
        <f t="shared" si="13"/>
        <v>0</v>
      </c>
      <c r="K21" s="3">
        <v>3</v>
      </c>
      <c r="L21" s="3">
        <v>3073</v>
      </c>
      <c r="M21" s="60">
        <f t="shared" ref="M21:M22" si="15">L21/K21</f>
        <v>1024.3333333333333</v>
      </c>
      <c r="N21" s="60">
        <f t="shared" ref="N21:N22" si="16">(G21*M21)/100</f>
        <v>290.50520138888885</v>
      </c>
      <c r="O21" s="39">
        <v>44.68</v>
      </c>
      <c r="P21" s="64">
        <f t="shared" ref="P21:P22" si="17">(G21*M21)/100*O21</f>
        <v>12979.772398055553</v>
      </c>
      <c r="Q21" s="47">
        <f t="shared" ref="Q21:Q22" si="18">(L21*G21)/100*O21</f>
        <v>38939.317194166659</v>
      </c>
      <c r="R21" s="3">
        <v>44.76</v>
      </c>
      <c r="S21" s="66">
        <f t="shared" ref="S21:S22" si="19">(G21*R21*M21)/100+D21*J21*R21</f>
        <v>13003.012814166665</v>
      </c>
      <c r="T21" s="3"/>
      <c r="U21" s="3"/>
      <c r="V21" s="67">
        <f t="shared" ref="V21:V22" si="20">(G21*M21)/100*R21*12</f>
        <v>156036.15376999998</v>
      </c>
      <c r="W21" s="67">
        <f t="shared" si="10"/>
        <v>156036.15376999998</v>
      </c>
      <c r="X21" s="67">
        <f t="shared" si="10"/>
        <v>156036.15376999998</v>
      </c>
      <c r="Y21" s="67">
        <f t="shared" si="10"/>
        <v>156036.15376999998</v>
      </c>
      <c r="Z21" s="3">
        <v>12</v>
      </c>
    </row>
    <row r="22" spans="1:26" ht="23.25" customHeight="1" x14ac:dyDescent="0.2">
      <c r="A22" s="113"/>
      <c r="B22" s="3" t="s">
        <v>75</v>
      </c>
      <c r="C22" s="3" t="s">
        <v>36</v>
      </c>
      <c r="D22" s="15"/>
      <c r="E22" s="48">
        <v>26.88</v>
      </c>
      <c r="F22" s="48">
        <v>30.72</v>
      </c>
      <c r="G22" s="60">
        <f t="shared" si="14"/>
        <v>28.639999999999997</v>
      </c>
      <c r="H22" s="48">
        <v>3</v>
      </c>
      <c r="I22" s="49"/>
      <c r="J22" s="13">
        <f t="shared" si="13"/>
        <v>0</v>
      </c>
      <c r="K22" s="3">
        <v>3</v>
      </c>
      <c r="L22" s="3">
        <v>2960</v>
      </c>
      <c r="M22" s="60">
        <f t="shared" si="15"/>
        <v>986.66666666666663</v>
      </c>
      <c r="N22" s="60">
        <f t="shared" si="16"/>
        <v>282.5813333333333</v>
      </c>
      <c r="O22" s="39">
        <v>56.72</v>
      </c>
      <c r="P22" s="64">
        <f t="shared" si="17"/>
        <v>16028.013226666664</v>
      </c>
      <c r="Q22" s="47">
        <f t="shared" si="18"/>
        <v>48084.039679999994</v>
      </c>
      <c r="R22" s="3">
        <v>59.25</v>
      </c>
      <c r="S22" s="66">
        <f t="shared" si="19"/>
        <v>16742.943999999996</v>
      </c>
      <c r="T22" s="3"/>
      <c r="U22" s="3"/>
      <c r="V22" s="67">
        <f t="shared" si="20"/>
        <v>200915.32799999998</v>
      </c>
      <c r="W22" s="67">
        <f t="shared" si="10"/>
        <v>200915.32799999998</v>
      </c>
      <c r="X22" s="67">
        <f t="shared" si="10"/>
        <v>200915.32799999998</v>
      </c>
      <c r="Y22" s="67">
        <f t="shared" si="10"/>
        <v>200915.32799999998</v>
      </c>
      <c r="Z22" s="3">
        <v>12</v>
      </c>
    </row>
    <row r="23" spans="1:26" ht="10.8" thickBot="1" x14ac:dyDescent="0.25">
      <c r="A23" s="3"/>
      <c r="B23" s="104" t="s">
        <v>26</v>
      </c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11"/>
      <c r="R23" s="106"/>
      <c r="S23" s="11">
        <f>SUM(S5:S22)</f>
        <v>231843.55067997912</v>
      </c>
      <c r="T23" s="11">
        <f>SUM(T5:T18)</f>
        <v>0</v>
      </c>
      <c r="U23" s="11">
        <f>SUM(U5:U18)</f>
        <v>0</v>
      </c>
      <c r="V23" s="11">
        <f>SUM(V5:V22)</f>
        <v>2782122.6081597498</v>
      </c>
      <c r="W23" s="11">
        <f>SUM(W5:W22)</f>
        <v>2782122.6081597498</v>
      </c>
      <c r="X23" s="11">
        <f>SUM(X5:X22)</f>
        <v>2782122.6081597498</v>
      </c>
      <c r="Y23" s="11">
        <f>SUM(Y5:Y22)</f>
        <v>2782122.6081597498</v>
      </c>
      <c r="Z23" s="24">
        <f>W23*12/V23</f>
        <v>12</v>
      </c>
    </row>
    <row r="24" spans="1:26" ht="10.8" thickBot="1" x14ac:dyDescent="0.25">
      <c r="N24" s="34">
        <f>N5+N6+N7+N8+N9+N10+N11+N12+N13+N14+N15+N17+N20+N21+N22</f>
        <v>4246.4142770833341</v>
      </c>
      <c r="O24" s="36">
        <v>34.369999999999997</v>
      </c>
      <c r="P24" s="42">
        <f>SUM(P5:P15)+P17+P20+P21+P22</f>
        <v>198042.53052019447</v>
      </c>
      <c r="Q24" s="41">
        <f>SUM(Q5:Q15)+Q17+Q20+Q21+Q22</f>
        <v>995745.62650366686</v>
      </c>
      <c r="R24" s="1">
        <v>39.049999999999997</v>
      </c>
      <c r="S24" s="12">
        <f>N24*R24</f>
        <v>165822.47752010418</v>
      </c>
      <c r="V24" s="40">
        <f>S24*12</f>
        <v>1989869.7302412502</v>
      </c>
      <c r="W24" s="21"/>
    </row>
    <row r="25" spans="1:26" x14ac:dyDescent="0.2">
      <c r="N25" s="34">
        <f>SUM(N19)+N18+N16</f>
        <v>509.9287034722222</v>
      </c>
      <c r="O25" s="36">
        <v>36.979999999999997</v>
      </c>
      <c r="P25" s="42">
        <f>SUM(P16)+P18+P19</f>
        <v>28923.156060944442</v>
      </c>
      <c r="Q25" s="42">
        <f>Q16+Q18+Q19</f>
        <v>106836.21636566665</v>
      </c>
      <c r="R25" s="1">
        <v>47.73</v>
      </c>
      <c r="S25" s="12">
        <f>N25*R25</f>
        <v>24338.897016729163</v>
      </c>
      <c r="V25" s="40">
        <f>S25*12</f>
        <v>292066.76420074992</v>
      </c>
    </row>
    <row r="26" spans="1:26" ht="20.399999999999999" x14ac:dyDescent="0.2">
      <c r="N26" s="34">
        <f>SUM(N24:N25)</f>
        <v>4756.3429805555561</v>
      </c>
      <c r="O26" s="36"/>
      <c r="P26" s="36">
        <f>SUM(P24:P25)</f>
        <v>226965.68658113893</v>
      </c>
      <c r="Q26" s="42">
        <f>SUM(Q24:Q25)</f>
        <v>1102581.8428693335</v>
      </c>
      <c r="S26" s="12">
        <f>S24+S25</f>
        <v>190161.37453683335</v>
      </c>
      <c r="V26" s="40">
        <f>V24+V25</f>
        <v>2281936.4944420001</v>
      </c>
      <c r="W26" s="1" t="s">
        <v>60</v>
      </c>
      <c r="X26" s="1">
        <v>2335716</v>
      </c>
    </row>
    <row r="27" spans="1:26" x14ac:dyDescent="0.2">
      <c r="N27" s="34"/>
      <c r="O27" s="36"/>
      <c r="P27" s="36"/>
      <c r="Q27" s="36"/>
      <c r="W27" s="54" t="s">
        <v>58</v>
      </c>
      <c r="X27" s="55">
        <f>X26-V23</f>
        <v>-446406.60815974977</v>
      </c>
    </row>
    <row r="28" spans="1:26" x14ac:dyDescent="0.2">
      <c r="N28" s="34"/>
      <c r="O28" s="36"/>
      <c r="P28" s="36"/>
      <c r="Q28" s="36"/>
      <c r="W28" s="54" t="s">
        <v>59</v>
      </c>
    </row>
  </sheetData>
  <mergeCells count="3">
    <mergeCell ref="B23:R23"/>
    <mergeCell ref="F1:S1"/>
    <mergeCell ref="A5:A22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"/>
  <sheetViews>
    <sheetView tabSelected="1" zoomScaleSheetLayoutView="100" workbookViewId="0">
      <selection activeCell="X15" sqref="X15"/>
    </sheetView>
  </sheetViews>
  <sheetFormatPr defaultColWidth="9.109375" defaultRowHeight="13.8" x14ac:dyDescent="0.3"/>
  <cols>
    <col min="1" max="1" width="13.33203125" style="70" customWidth="1"/>
    <col min="2" max="2" width="11.109375" style="70" customWidth="1"/>
    <col min="3" max="5" width="9.109375" style="70"/>
    <col min="6" max="7" width="9.109375" style="71"/>
    <col min="8" max="8" width="10" style="71" customWidth="1"/>
    <col min="9" max="9" width="11.109375" style="71" customWidth="1"/>
    <col min="10" max="10" width="9.109375" style="71"/>
    <col min="11" max="12" width="11" style="71" customWidth="1"/>
    <col min="13" max="13" width="11.88671875" style="71" customWidth="1"/>
    <col min="14" max="14" width="9.88671875" style="71" customWidth="1"/>
    <col min="15" max="15" width="8.88671875" style="71" customWidth="1"/>
    <col min="16" max="16" width="11.44140625" style="71" customWidth="1"/>
    <col min="17" max="17" width="10" style="71" customWidth="1"/>
    <col min="18" max="18" width="11.44140625" style="71" bestFit="1" customWidth="1"/>
    <col min="19" max="19" width="13" style="71" hidden="1" customWidth="1"/>
    <col min="20" max="20" width="10.6640625" style="71" hidden="1" customWidth="1"/>
    <col min="21" max="21" width="12.33203125" style="71" hidden="1" customWidth="1"/>
    <col min="22" max="22" width="13.5546875" style="71" customWidth="1"/>
    <col min="23" max="23" width="13.6640625" style="71" customWidth="1"/>
    <col min="24" max="24" width="13.33203125" style="71" customWidth="1"/>
    <col min="25" max="25" width="0" style="71" hidden="1" customWidth="1"/>
    <col min="26" max="26" width="9.109375" style="93"/>
    <col min="27" max="27" width="10" style="93" bestFit="1" customWidth="1"/>
    <col min="28" max="16384" width="9.109375" style="93"/>
  </cols>
  <sheetData>
    <row r="1" spans="1:27" x14ac:dyDescent="0.3">
      <c r="W1" s="70" t="s">
        <v>88</v>
      </c>
    </row>
    <row r="2" spans="1:27" x14ac:dyDescent="0.3">
      <c r="W2" s="70" t="s">
        <v>89</v>
      </c>
    </row>
    <row r="3" spans="1:27" x14ac:dyDescent="0.3">
      <c r="W3" s="70"/>
    </row>
    <row r="4" spans="1:27" s="68" customFormat="1" ht="13.5" customHeight="1" x14ac:dyDescent="0.25">
      <c r="A4" s="117" t="s">
        <v>111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</row>
    <row r="5" spans="1:27" s="68" customFormat="1" ht="13.2" x14ac:dyDescent="0.25"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3"/>
      <c r="S5" s="72"/>
      <c r="T5" s="72"/>
      <c r="U5" s="72"/>
      <c r="V5" s="72"/>
      <c r="W5" s="72"/>
      <c r="X5" s="72"/>
      <c r="Y5" s="72"/>
    </row>
    <row r="6" spans="1:27" s="68" customFormat="1" ht="91.5" customHeight="1" x14ac:dyDescent="0.25">
      <c r="A6" s="74" t="s">
        <v>27</v>
      </c>
      <c r="B6" s="74" t="s">
        <v>2</v>
      </c>
      <c r="C6" s="74" t="s">
        <v>3</v>
      </c>
      <c r="D6" s="74" t="s">
        <v>10</v>
      </c>
      <c r="E6" s="74" t="s">
        <v>11</v>
      </c>
      <c r="F6" s="75" t="s">
        <v>0</v>
      </c>
      <c r="G6" s="75" t="s">
        <v>8</v>
      </c>
      <c r="H6" s="76" t="s">
        <v>110</v>
      </c>
      <c r="I6" s="75" t="s">
        <v>109</v>
      </c>
      <c r="J6" s="75" t="s">
        <v>108</v>
      </c>
      <c r="K6" s="76" t="s">
        <v>113</v>
      </c>
      <c r="L6" s="76" t="s">
        <v>107</v>
      </c>
      <c r="M6" s="76" t="s">
        <v>106</v>
      </c>
      <c r="N6" s="76" t="s">
        <v>114</v>
      </c>
      <c r="O6" s="76" t="s">
        <v>115</v>
      </c>
      <c r="P6" s="76" t="s">
        <v>116</v>
      </c>
      <c r="Q6" s="75" t="s">
        <v>121</v>
      </c>
      <c r="R6" s="82" t="s">
        <v>122</v>
      </c>
      <c r="S6" s="75" t="s">
        <v>6</v>
      </c>
      <c r="T6" s="75" t="s">
        <v>7</v>
      </c>
      <c r="U6" s="75" t="s">
        <v>96</v>
      </c>
      <c r="V6" s="75" t="s">
        <v>123</v>
      </c>
      <c r="W6" s="75" t="s">
        <v>124</v>
      </c>
      <c r="X6" s="75" t="s">
        <v>125</v>
      </c>
      <c r="Y6" s="75" t="s">
        <v>105</v>
      </c>
    </row>
    <row r="7" spans="1:27" s="68" customFormat="1" ht="36" customHeight="1" x14ac:dyDescent="0.25">
      <c r="A7" s="118" t="s">
        <v>102</v>
      </c>
      <c r="B7" s="69" t="s">
        <v>12</v>
      </c>
      <c r="C7" s="83"/>
      <c r="D7" s="83">
        <v>13.8</v>
      </c>
      <c r="E7" s="83">
        <v>17.399999999999999</v>
      </c>
      <c r="F7" s="84">
        <f>(D7+E7)/2</f>
        <v>15.6</v>
      </c>
      <c r="G7" s="88"/>
      <c r="H7" s="85"/>
      <c r="I7" s="77"/>
      <c r="J7" s="77">
        <v>12</v>
      </c>
      <c r="K7" s="85">
        <v>23525</v>
      </c>
      <c r="L7" s="85">
        <f>K7/J7</f>
        <v>1960.4166666666667</v>
      </c>
      <c r="M7" s="85">
        <f>(L7*F7)/100</f>
        <v>305.82499999999999</v>
      </c>
      <c r="N7" s="85">
        <v>73.48</v>
      </c>
      <c r="O7" s="85">
        <f>(F7*L7)/100*N7+(C7*I7*N7)</f>
        <v>22472.021000000001</v>
      </c>
      <c r="P7" s="85">
        <f>(K7*F7)/100*N7+C7*I7*N7*G7+M18</f>
        <v>295037.14200000005</v>
      </c>
      <c r="Q7" s="85">
        <v>80.13</v>
      </c>
      <c r="R7" s="86">
        <f>(F7*L7)/100*Q7+(C7*I7*Q7)</f>
        <v>24505.757249999999</v>
      </c>
      <c r="S7" s="77"/>
      <c r="T7" s="77"/>
      <c r="U7" s="77">
        <f>R7*12</f>
        <v>294069.087</v>
      </c>
      <c r="V7" s="77">
        <f>R7*12</f>
        <v>294069.087</v>
      </c>
      <c r="W7" s="77">
        <f>V7</f>
        <v>294069.087</v>
      </c>
      <c r="X7" s="77">
        <f>W7</f>
        <v>294069.087</v>
      </c>
      <c r="Y7" s="88">
        <v>12</v>
      </c>
    </row>
    <row r="8" spans="1:27" s="68" customFormat="1" ht="36" customHeight="1" x14ac:dyDescent="0.25">
      <c r="A8" s="119"/>
      <c r="B8" s="69" t="s">
        <v>13</v>
      </c>
      <c r="C8" s="83"/>
      <c r="D8" s="83">
        <v>34.85</v>
      </c>
      <c r="E8" s="83">
        <v>41.51</v>
      </c>
      <c r="F8" s="84">
        <f t="shared" ref="F8" si="0">(D8+E8)/2</f>
        <v>38.18</v>
      </c>
      <c r="G8" s="88"/>
      <c r="H8" s="77"/>
      <c r="I8" s="77"/>
      <c r="J8" s="77">
        <v>12</v>
      </c>
      <c r="K8" s="77">
        <v>7454</v>
      </c>
      <c r="L8" s="77">
        <f>K8/J8</f>
        <v>621.16666666666663</v>
      </c>
      <c r="M8" s="85">
        <f t="shared" ref="M8" si="1">(L8*F8)/100</f>
        <v>237.16143333333332</v>
      </c>
      <c r="N8" s="77">
        <v>53.1</v>
      </c>
      <c r="O8" s="85">
        <f t="shared" ref="O8" si="2">(F8*L8)/100*N8</f>
        <v>12593.27211</v>
      </c>
      <c r="P8" s="85">
        <f>(K8*F8)/100*N8+M18</f>
        <v>176492.15532000002</v>
      </c>
      <c r="Q8" s="77">
        <v>63.11</v>
      </c>
      <c r="R8" s="86">
        <f>(F8*L8)/100*Q8+(C8*I8*Q8)</f>
        <v>14967.258057666666</v>
      </c>
      <c r="S8" s="77"/>
      <c r="T8" s="77"/>
      <c r="U8" s="77">
        <f t="shared" ref="U8" si="3">R8*12</f>
        <v>179607.09669199999</v>
      </c>
      <c r="V8" s="77">
        <f t="shared" ref="V8:V9" si="4">R8*12</f>
        <v>179607.09669199999</v>
      </c>
      <c r="W8" s="77">
        <f t="shared" ref="W8:X11" si="5">V8</f>
        <v>179607.09669199999</v>
      </c>
      <c r="X8" s="77">
        <f t="shared" si="5"/>
        <v>179607.09669199999</v>
      </c>
      <c r="Y8" s="88">
        <v>12</v>
      </c>
    </row>
    <row r="9" spans="1:27" s="68" customFormat="1" ht="36" customHeight="1" x14ac:dyDescent="0.25">
      <c r="A9" s="119"/>
      <c r="B9" s="69" t="s">
        <v>112</v>
      </c>
      <c r="C9" s="83"/>
      <c r="D9" s="83">
        <v>32</v>
      </c>
      <c r="E9" s="83">
        <v>32</v>
      </c>
      <c r="F9" s="84">
        <f t="shared" ref="F9" si="6">(D9+E9)/2</f>
        <v>32</v>
      </c>
      <c r="G9" s="88"/>
      <c r="H9" s="77"/>
      <c r="I9" s="77"/>
      <c r="J9" s="77">
        <v>1</v>
      </c>
      <c r="K9" s="77">
        <v>1753.13</v>
      </c>
      <c r="L9" s="77">
        <v>1753.13</v>
      </c>
      <c r="M9" s="85">
        <f t="shared" ref="M9:M10" si="7">(L9*F9)/100</f>
        <v>561.00160000000005</v>
      </c>
      <c r="N9" s="77">
        <v>79.53</v>
      </c>
      <c r="O9" s="85">
        <f t="shared" ref="O9:O10" si="8">(F9*L9)/100*N9</f>
        <v>44616.457248000006</v>
      </c>
      <c r="P9" s="85">
        <f>(K9*F9)/100*N9+M20</f>
        <v>44616.457248000006</v>
      </c>
      <c r="Q9" s="77">
        <v>80.13</v>
      </c>
      <c r="R9" s="86">
        <f t="shared" ref="R9:R10" si="9">(F9*L9)/100*Q9+(C9*I9*Q9)</f>
        <v>44953.058208000002</v>
      </c>
      <c r="S9" s="77"/>
      <c r="T9" s="77"/>
      <c r="U9" s="77">
        <f t="shared" ref="U9" si="10">R9*12</f>
        <v>539436.69849600003</v>
      </c>
      <c r="V9" s="77">
        <f>R9*1</f>
        <v>44953.058208000002</v>
      </c>
      <c r="W9" s="77">
        <f t="shared" si="5"/>
        <v>44953.058208000002</v>
      </c>
      <c r="X9" s="77">
        <f t="shared" si="5"/>
        <v>44953.058208000002</v>
      </c>
      <c r="Y9" s="88">
        <v>12</v>
      </c>
    </row>
    <row r="10" spans="1:27" ht="36" customHeight="1" x14ac:dyDescent="0.3">
      <c r="A10" s="119"/>
      <c r="B10" s="69" t="s">
        <v>54</v>
      </c>
      <c r="C10" s="87"/>
      <c r="D10" s="87"/>
      <c r="E10" s="87">
        <v>60</v>
      </c>
      <c r="F10" s="84">
        <f t="shared" ref="F10" si="11">(D10+E10+C10)/1</f>
        <v>60</v>
      </c>
      <c r="G10" s="89"/>
      <c r="H10" s="81"/>
      <c r="I10" s="81"/>
      <c r="J10" s="81">
        <v>6</v>
      </c>
      <c r="K10" s="81">
        <v>3949</v>
      </c>
      <c r="L10" s="77">
        <f>K10/J10</f>
        <v>658.16666666666663</v>
      </c>
      <c r="M10" s="85">
        <f t="shared" si="7"/>
        <v>394.9</v>
      </c>
      <c r="N10" s="81">
        <v>57.52</v>
      </c>
      <c r="O10" s="85">
        <f t="shared" si="8"/>
        <v>22714.648000000001</v>
      </c>
      <c r="P10" s="85">
        <f>(K10*F10)/100*N10+M21</f>
        <v>136287.88800000001</v>
      </c>
      <c r="Q10" s="77">
        <v>63.11</v>
      </c>
      <c r="R10" s="86">
        <f>(F10*L10)/100*Q10+(C10*I10*Q10)</f>
        <v>24922.138999999999</v>
      </c>
      <c r="S10" s="81"/>
      <c r="T10" s="81"/>
      <c r="U10" s="77">
        <f>R10*12</f>
        <v>299065.66800000001</v>
      </c>
      <c r="V10" s="77">
        <f>R10*6</f>
        <v>149532.834</v>
      </c>
      <c r="W10" s="77">
        <f t="shared" si="5"/>
        <v>149532.834</v>
      </c>
      <c r="X10" s="77">
        <f t="shared" si="5"/>
        <v>149532.834</v>
      </c>
      <c r="Y10" s="89">
        <v>6</v>
      </c>
    </row>
    <row r="11" spans="1:27" ht="36" customHeight="1" x14ac:dyDescent="0.3">
      <c r="A11" s="119"/>
      <c r="B11" s="69" t="s">
        <v>94</v>
      </c>
      <c r="C11" s="87">
        <v>3</v>
      </c>
      <c r="D11" s="87"/>
      <c r="E11" s="87"/>
      <c r="F11" s="77"/>
      <c r="G11" s="89">
        <v>6</v>
      </c>
      <c r="H11" s="81"/>
      <c r="I11" s="81">
        <v>54.88</v>
      </c>
      <c r="J11" s="81"/>
      <c r="K11" s="81"/>
      <c r="L11" s="77"/>
      <c r="M11" s="85"/>
      <c r="N11" s="81">
        <v>68.19</v>
      </c>
      <c r="O11" s="85">
        <f>(C11*I11*N11)</f>
        <v>11226.801600000001</v>
      </c>
      <c r="P11" s="85">
        <f>C11*I11*N11*G11</f>
        <v>67360.809600000008</v>
      </c>
      <c r="Q11" s="81">
        <v>80.13</v>
      </c>
      <c r="R11" s="82">
        <f>C11*I11*Q11</f>
        <v>13192.6032</v>
      </c>
      <c r="S11" s="81"/>
      <c r="T11" s="81"/>
      <c r="U11" s="77">
        <f>R11*3</f>
        <v>39577.809600000001</v>
      </c>
      <c r="V11" s="77">
        <f>R11*6</f>
        <v>79155.619200000001</v>
      </c>
      <c r="W11" s="77">
        <f t="shared" si="5"/>
        <v>79155.619200000001</v>
      </c>
      <c r="X11" s="77">
        <f t="shared" si="5"/>
        <v>79155.619200000001</v>
      </c>
      <c r="Y11" s="89">
        <v>6</v>
      </c>
    </row>
    <row r="12" spans="1:27" s="94" customFormat="1" ht="18" customHeight="1" x14ac:dyDescent="0.25">
      <c r="A12" s="120"/>
      <c r="B12" s="121" t="s">
        <v>26</v>
      </c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3"/>
      <c r="R12" s="92">
        <f>SUM(R7:R11)</f>
        <v>122540.81571566666</v>
      </c>
      <c r="S12" s="92"/>
      <c r="T12" s="92"/>
      <c r="U12" s="92">
        <f>SUM(U7:U11)</f>
        <v>1351756.3597880001</v>
      </c>
      <c r="V12" s="103">
        <f>SUM(V7:V11)</f>
        <v>747317.69510000001</v>
      </c>
      <c r="W12" s="103">
        <f t="shared" ref="W12:X12" si="12">SUM(W7:W11)</f>
        <v>747317.69510000001</v>
      </c>
      <c r="X12" s="103">
        <f t="shared" si="12"/>
        <v>747317.69510000001</v>
      </c>
      <c r="Y12" s="92"/>
    </row>
    <row r="13" spans="1:27" ht="18" customHeight="1" x14ac:dyDescent="0.3">
      <c r="P13" s="78">
        <f>SUM(P7:P11)</f>
        <v>719794.45216800016</v>
      </c>
      <c r="Q13" s="78"/>
      <c r="S13" s="78"/>
      <c r="U13" s="91"/>
      <c r="V13" s="78">
        <f>SUM(V7:V11)</f>
        <v>747317.69510000001</v>
      </c>
    </row>
    <row r="14" spans="1:27" ht="18" hidden="1" customHeight="1" x14ac:dyDescent="0.3">
      <c r="B14" s="124" t="s">
        <v>90</v>
      </c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U14" s="78"/>
    </row>
    <row r="15" spans="1:27" ht="18" customHeight="1" x14ac:dyDescent="0.3">
      <c r="A15" s="93"/>
      <c r="B15" s="93"/>
      <c r="C15" s="93"/>
      <c r="D15" s="95"/>
      <c r="E15" s="93"/>
      <c r="F15" s="96"/>
      <c r="G15" s="96"/>
      <c r="H15" s="97"/>
      <c r="I15" s="97"/>
      <c r="J15" s="97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</row>
    <row r="16" spans="1:27" s="70" customFormat="1" ht="57.6" customHeight="1" x14ac:dyDescent="0.25">
      <c r="A16" s="118" t="s">
        <v>27</v>
      </c>
      <c r="B16" s="118" t="s">
        <v>2</v>
      </c>
      <c r="C16" s="125" t="s">
        <v>103</v>
      </c>
      <c r="D16" s="126"/>
      <c r="E16" s="125" t="s">
        <v>104</v>
      </c>
      <c r="F16" s="126"/>
      <c r="G16" s="127" t="s">
        <v>91</v>
      </c>
      <c r="H16" s="128"/>
      <c r="I16" s="127" t="s">
        <v>97</v>
      </c>
      <c r="J16" s="128"/>
      <c r="K16" s="127" t="s">
        <v>98</v>
      </c>
      <c r="L16" s="128"/>
      <c r="M16" s="75" t="s">
        <v>99</v>
      </c>
      <c r="N16" s="131" t="s">
        <v>114</v>
      </c>
      <c r="O16" s="115" t="s">
        <v>115</v>
      </c>
      <c r="P16" s="115" t="s">
        <v>117</v>
      </c>
      <c r="Q16" s="115" t="s">
        <v>118</v>
      </c>
      <c r="R16" s="115" t="s">
        <v>119</v>
      </c>
      <c r="S16" s="129"/>
      <c r="T16" s="129"/>
      <c r="U16" s="129"/>
      <c r="V16" s="115" t="s">
        <v>100</v>
      </c>
      <c r="W16" s="114" t="s">
        <v>101</v>
      </c>
      <c r="X16" s="114" t="s">
        <v>120</v>
      </c>
      <c r="Y16" s="118" t="s">
        <v>105</v>
      </c>
      <c r="Z16" s="98"/>
      <c r="AA16" s="90"/>
    </row>
    <row r="17" spans="1:27" s="70" customFormat="1" ht="18" customHeight="1" x14ac:dyDescent="0.25">
      <c r="A17" s="120"/>
      <c r="B17" s="120"/>
      <c r="C17" s="74" t="s">
        <v>92</v>
      </c>
      <c r="D17" s="74" t="s">
        <v>93</v>
      </c>
      <c r="E17" s="74" t="s">
        <v>92</v>
      </c>
      <c r="F17" s="75" t="s">
        <v>93</v>
      </c>
      <c r="G17" s="75" t="s">
        <v>92</v>
      </c>
      <c r="H17" s="75" t="s">
        <v>93</v>
      </c>
      <c r="I17" s="75" t="s">
        <v>92</v>
      </c>
      <c r="J17" s="75" t="s">
        <v>93</v>
      </c>
      <c r="K17" s="75" t="s">
        <v>92</v>
      </c>
      <c r="L17" s="75" t="s">
        <v>93</v>
      </c>
      <c r="M17" s="75" t="s">
        <v>93</v>
      </c>
      <c r="N17" s="132"/>
      <c r="O17" s="116"/>
      <c r="P17" s="116"/>
      <c r="Q17" s="116"/>
      <c r="R17" s="116"/>
      <c r="S17" s="130"/>
      <c r="T17" s="130"/>
      <c r="U17" s="130"/>
      <c r="V17" s="116"/>
      <c r="W17" s="114"/>
      <c r="X17" s="114"/>
      <c r="Y17" s="120"/>
      <c r="Z17" s="98"/>
      <c r="AA17" s="99"/>
    </row>
    <row r="18" spans="1:27" s="70" customFormat="1" ht="36" customHeight="1" x14ac:dyDescent="0.25">
      <c r="A18" s="118" t="s">
        <v>102</v>
      </c>
      <c r="B18" s="100" t="s">
        <v>12</v>
      </c>
      <c r="C18" s="79">
        <v>23</v>
      </c>
      <c r="D18" s="87">
        <f>7987.38+17385.51</f>
        <v>25372.89</v>
      </c>
      <c r="E18" s="79">
        <v>5</v>
      </c>
      <c r="F18" s="79">
        <v>1200</v>
      </c>
      <c r="G18" s="79">
        <v>0</v>
      </c>
      <c r="H18" s="79">
        <v>0</v>
      </c>
      <c r="I18" s="79">
        <f>3+1</f>
        <v>4</v>
      </c>
      <c r="J18" s="79">
        <f>6261+717</f>
        <v>6978</v>
      </c>
      <c r="K18" s="79">
        <v>0</v>
      </c>
      <c r="L18" s="79">
        <v>0</v>
      </c>
      <c r="M18" s="81">
        <f>D18</f>
        <v>25372.89</v>
      </c>
      <c r="N18" s="80" t="s">
        <v>95</v>
      </c>
      <c r="O18" s="81">
        <f>M18/12</f>
        <v>2114.4074999999998</v>
      </c>
      <c r="P18" s="81">
        <f>M18</f>
        <v>25372.89</v>
      </c>
      <c r="Q18" s="80" t="s">
        <v>95</v>
      </c>
      <c r="R18" s="81">
        <f>O18</f>
        <v>2114.4074999999998</v>
      </c>
      <c r="S18" s="80"/>
      <c r="T18" s="80"/>
      <c r="U18" s="81"/>
      <c r="V18" s="81">
        <f>R18*12</f>
        <v>25372.89</v>
      </c>
      <c r="W18" s="81">
        <f t="shared" ref="W18:X21" si="13">V18</f>
        <v>25372.89</v>
      </c>
      <c r="X18" s="81">
        <f t="shared" si="13"/>
        <v>25372.89</v>
      </c>
      <c r="Y18" s="80">
        <v>12</v>
      </c>
    </row>
    <row r="19" spans="1:27" s="70" customFormat="1" ht="36" customHeight="1" x14ac:dyDescent="0.25">
      <c r="A19" s="119"/>
      <c r="B19" s="100" t="s">
        <v>13</v>
      </c>
      <c r="C19" s="79">
        <v>12</v>
      </c>
      <c r="D19" s="87">
        <v>11981.08</v>
      </c>
      <c r="E19" s="79">
        <v>0</v>
      </c>
      <c r="F19" s="79">
        <v>0</v>
      </c>
      <c r="G19" s="79">
        <v>1</v>
      </c>
      <c r="H19" s="79">
        <v>442</v>
      </c>
      <c r="I19" s="80">
        <v>0</v>
      </c>
      <c r="J19" s="81">
        <v>0</v>
      </c>
      <c r="K19" s="79">
        <v>0</v>
      </c>
      <c r="L19" s="79">
        <v>0</v>
      </c>
      <c r="M19" s="81">
        <f>D19+J19</f>
        <v>11981.08</v>
      </c>
      <c r="N19" s="80" t="s">
        <v>95</v>
      </c>
      <c r="O19" s="81">
        <f>M19/12</f>
        <v>998.42333333333329</v>
      </c>
      <c r="P19" s="81">
        <f>M19</f>
        <v>11981.08</v>
      </c>
      <c r="Q19" s="80" t="s">
        <v>95</v>
      </c>
      <c r="R19" s="81">
        <f>O19</f>
        <v>998.42333333333329</v>
      </c>
      <c r="S19" s="80"/>
      <c r="T19" s="80"/>
      <c r="U19" s="80"/>
      <c r="V19" s="81">
        <f t="shared" ref="V19" si="14">R19*12</f>
        <v>11981.08</v>
      </c>
      <c r="W19" s="81">
        <f t="shared" si="13"/>
        <v>11981.08</v>
      </c>
      <c r="X19" s="81">
        <f t="shared" si="13"/>
        <v>11981.08</v>
      </c>
      <c r="Y19" s="80">
        <v>12</v>
      </c>
    </row>
    <row r="20" spans="1:27" s="70" customFormat="1" ht="36" customHeight="1" x14ac:dyDescent="0.25">
      <c r="A20" s="119"/>
      <c r="B20" s="69" t="s">
        <v>112</v>
      </c>
      <c r="C20" s="79">
        <v>0</v>
      </c>
      <c r="D20" s="87">
        <v>0</v>
      </c>
      <c r="E20" s="79">
        <v>0</v>
      </c>
      <c r="F20" s="79">
        <v>0</v>
      </c>
      <c r="G20" s="79">
        <v>0</v>
      </c>
      <c r="H20" s="79">
        <v>0</v>
      </c>
      <c r="I20" s="80">
        <v>0</v>
      </c>
      <c r="J20" s="81">
        <v>0</v>
      </c>
      <c r="K20" s="79">
        <v>0</v>
      </c>
      <c r="L20" s="79">
        <v>0</v>
      </c>
      <c r="M20" s="81">
        <f>D20+J20</f>
        <v>0</v>
      </c>
      <c r="N20" s="80" t="s">
        <v>95</v>
      </c>
      <c r="O20" s="81">
        <f>M20/12</f>
        <v>0</v>
      </c>
      <c r="P20" s="81">
        <f>M20</f>
        <v>0</v>
      </c>
      <c r="Q20" s="80" t="s">
        <v>95</v>
      </c>
      <c r="R20" s="81">
        <f>O20</f>
        <v>0</v>
      </c>
      <c r="S20" s="80"/>
      <c r="T20" s="80"/>
      <c r="U20" s="80"/>
      <c r="V20" s="81">
        <f>R20*12</f>
        <v>0</v>
      </c>
      <c r="W20" s="81">
        <f t="shared" si="13"/>
        <v>0</v>
      </c>
      <c r="X20" s="81">
        <f t="shared" si="13"/>
        <v>0</v>
      </c>
      <c r="Y20" s="80">
        <v>12</v>
      </c>
    </row>
    <row r="21" spans="1:27" s="70" customFormat="1" ht="36" customHeight="1" x14ac:dyDescent="0.25">
      <c r="A21" s="119"/>
      <c r="B21" s="100" t="s">
        <v>54</v>
      </c>
      <c r="C21" s="79">
        <v>0</v>
      </c>
      <c r="D21" s="87">
        <v>0</v>
      </c>
      <c r="E21" s="79">
        <v>0</v>
      </c>
      <c r="F21" s="79">
        <v>0</v>
      </c>
      <c r="G21" s="79">
        <v>0</v>
      </c>
      <c r="H21" s="79">
        <v>0</v>
      </c>
      <c r="I21" s="79">
        <v>0</v>
      </c>
      <c r="J21" s="79">
        <v>0</v>
      </c>
      <c r="K21" s="79">
        <v>0</v>
      </c>
      <c r="L21" s="79">
        <v>0</v>
      </c>
      <c r="M21" s="81">
        <f t="shared" ref="M21" si="15">D21</f>
        <v>0</v>
      </c>
      <c r="N21" s="80" t="s">
        <v>95</v>
      </c>
      <c r="O21" s="81">
        <f>M21/12</f>
        <v>0</v>
      </c>
      <c r="P21" s="81">
        <f>M21</f>
        <v>0</v>
      </c>
      <c r="Q21" s="80" t="s">
        <v>95</v>
      </c>
      <c r="R21" s="81">
        <f>O21</f>
        <v>0</v>
      </c>
      <c r="S21" s="80"/>
      <c r="T21" s="80"/>
      <c r="U21" s="80"/>
      <c r="V21" s="81">
        <f t="shared" ref="V21" si="16">R21*12</f>
        <v>0</v>
      </c>
      <c r="W21" s="81">
        <f t="shared" si="13"/>
        <v>0</v>
      </c>
      <c r="X21" s="81">
        <f t="shared" si="13"/>
        <v>0</v>
      </c>
      <c r="Y21" s="80">
        <v>6</v>
      </c>
    </row>
    <row r="22" spans="1:27" ht="18" customHeight="1" x14ac:dyDescent="0.3">
      <c r="A22" s="120"/>
      <c r="B22" s="121" t="s">
        <v>26</v>
      </c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3"/>
      <c r="R22" s="101">
        <f>R18+R20+R21</f>
        <v>2114.4074999999998</v>
      </c>
      <c r="S22" s="101">
        <f t="shared" ref="S22:X22" si="17">S18+S20+S21</f>
        <v>0</v>
      </c>
      <c r="T22" s="101">
        <f t="shared" si="17"/>
        <v>0</v>
      </c>
      <c r="U22" s="101">
        <f t="shared" si="17"/>
        <v>0</v>
      </c>
      <c r="V22" s="101">
        <f>SUM(V18:V21)</f>
        <v>37353.97</v>
      </c>
      <c r="W22" s="101">
        <f t="shared" ref="W22:X22" si="18">SUM(W18:W21)</f>
        <v>37353.97</v>
      </c>
      <c r="X22" s="101">
        <f t="shared" si="18"/>
        <v>37353.97</v>
      </c>
      <c r="Y22" s="102"/>
    </row>
  </sheetData>
  <mergeCells count="25">
    <mergeCell ref="A18:A22"/>
    <mergeCell ref="B22:Q22"/>
    <mergeCell ref="W16:W17"/>
    <mergeCell ref="S16:S17"/>
    <mergeCell ref="T16:T17"/>
    <mergeCell ref="U16:U17"/>
    <mergeCell ref="A16:A17"/>
    <mergeCell ref="B16:B17"/>
    <mergeCell ref="K16:L16"/>
    <mergeCell ref="N16:N17"/>
    <mergeCell ref="O16:O17"/>
    <mergeCell ref="Q16:Q17"/>
    <mergeCell ref="R16:R17"/>
    <mergeCell ref="X16:X17"/>
    <mergeCell ref="V16:V17"/>
    <mergeCell ref="A4:Y4"/>
    <mergeCell ref="A7:A12"/>
    <mergeCell ref="B12:Q12"/>
    <mergeCell ref="Y16:Y17"/>
    <mergeCell ref="B14:L14"/>
    <mergeCell ref="C16:D16"/>
    <mergeCell ref="E16:F16"/>
    <mergeCell ref="G16:H16"/>
    <mergeCell ref="I16:J16"/>
    <mergeCell ref="P16:P17"/>
  </mergeCells>
  <pageMargins left="0" right="0" top="0.55118110236220474" bottom="0.74803149606299213" header="0.31496062992125984" footer="0.31496062992125984"/>
  <pageSetup paperSize="9"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Z5"/>
  <sheetViews>
    <sheetView workbookViewId="0">
      <selection activeCell="U14" sqref="U14"/>
    </sheetView>
  </sheetViews>
  <sheetFormatPr defaultRowHeight="14.4" x14ac:dyDescent="0.3"/>
  <cols>
    <col min="19" max="20" width="0" hidden="1" customWidth="1"/>
    <col min="24" max="24" width="0" hidden="1" customWidth="1"/>
  </cols>
  <sheetData>
    <row r="3" spans="1:26" s="1" customFormat="1" ht="84.75" customHeight="1" x14ac:dyDescent="0.2">
      <c r="A3" s="3" t="s">
        <v>27</v>
      </c>
      <c r="B3" s="3" t="s">
        <v>2</v>
      </c>
      <c r="C3" s="4" t="s">
        <v>3</v>
      </c>
      <c r="D3" s="4" t="s">
        <v>10</v>
      </c>
      <c r="E3" s="4" t="s">
        <v>11</v>
      </c>
      <c r="F3" s="5" t="s">
        <v>0</v>
      </c>
      <c r="G3" s="4" t="s">
        <v>8</v>
      </c>
      <c r="H3" s="6" t="s">
        <v>5</v>
      </c>
      <c r="I3" s="5" t="s">
        <v>4</v>
      </c>
      <c r="J3" s="4" t="s">
        <v>9</v>
      </c>
      <c r="K3" s="6" t="s">
        <v>81</v>
      </c>
      <c r="L3" s="7" t="s">
        <v>43</v>
      </c>
      <c r="M3" s="7" t="s">
        <v>34</v>
      </c>
      <c r="N3" s="38" t="s">
        <v>72</v>
      </c>
      <c r="O3" s="38" t="s">
        <v>49</v>
      </c>
      <c r="P3" s="38" t="s">
        <v>82</v>
      </c>
      <c r="Q3" s="4" t="s">
        <v>69</v>
      </c>
      <c r="R3" s="10" t="s">
        <v>70</v>
      </c>
      <c r="S3" s="14" t="s">
        <v>6</v>
      </c>
      <c r="T3" s="14" t="s">
        <v>7</v>
      </c>
      <c r="U3" s="3" t="s">
        <v>83</v>
      </c>
      <c r="V3" s="3" t="s">
        <v>56</v>
      </c>
      <c r="W3" s="3" t="s">
        <v>57</v>
      </c>
      <c r="X3" s="3" t="s">
        <v>56</v>
      </c>
      <c r="Y3" s="3" t="s">
        <v>86</v>
      </c>
      <c r="Z3" s="3" t="s">
        <v>7</v>
      </c>
    </row>
    <row r="4" spans="1:26" s="1" customFormat="1" ht="47.25" customHeight="1" x14ac:dyDescent="0.2">
      <c r="A4" s="17" t="s">
        <v>67</v>
      </c>
      <c r="B4" s="3" t="s">
        <v>66</v>
      </c>
      <c r="C4" s="3">
        <v>1.3</v>
      </c>
      <c r="D4" s="3">
        <v>15.6</v>
      </c>
      <c r="E4" s="3">
        <v>17.55</v>
      </c>
      <c r="F4" s="13">
        <f>(D4*6.5+E4*5.5)/12+C4</f>
        <v>17.793750000000003</v>
      </c>
      <c r="G4" s="3">
        <v>4</v>
      </c>
      <c r="H4" s="8">
        <v>66</v>
      </c>
      <c r="I4" s="13">
        <v>16.5</v>
      </c>
      <c r="J4" s="3">
        <v>6</v>
      </c>
      <c r="K4" s="3">
        <v>5147</v>
      </c>
      <c r="L4" s="13">
        <f>K4/J4</f>
        <v>857.83333333333337</v>
      </c>
      <c r="M4" s="30">
        <f>(L4*F4)/100+(C4*I4)</f>
        <v>174.09071875000001</v>
      </c>
      <c r="N4" s="45">
        <v>47.27</v>
      </c>
      <c r="O4" s="45">
        <f>(F4*L4)/100*N4+C4*I4*N4</f>
        <v>8229.2682753125009</v>
      </c>
      <c r="P4" s="45">
        <f>(F4*K4)/100*N4+C4*H4*N4</f>
        <v>47347.726651875011</v>
      </c>
      <c r="Q4" s="3">
        <v>45.65</v>
      </c>
      <c r="R4" s="11">
        <f>(F4*Q4*L4)/100+C4*I4*Q4</f>
        <v>7947.2413109375011</v>
      </c>
      <c r="T4" s="1">
        <v>6</v>
      </c>
      <c r="U4" s="16">
        <f>(F4*L4)/100*Q4*12</f>
        <v>83616.585731250016</v>
      </c>
      <c r="V4" s="23">
        <v>79620</v>
      </c>
      <c r="W4" s="23">
        <v>79620</v>
      </c>
      <c r="X4" s="23"/>
      <c r="Y4" s="23">
        <v>79620</v>
      </c>
      <c r="Z4" s="22">
        <f>V4*12/U4</f>
        <v>11.426441197573599</v>
      </c>
    </row>
    <row r="5" spans="1:26" s="1" customFormat="1" ht="11.4" customHeight="1" x14ac:dyDescent="0.2">
      <c r="A5" s="18"/>
      <c r="B5" s="104" t="s">
        <v>26</v>
      </c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6"/>
      <c r="R5" s="11">
        <f>R4</f>
        <v>7947.2413109375011</v>
      </c>
      <c r="S5" s="11">
        <f t="shared" ref="S5:X5" si="0">S4</f>
        <v>0</v>
      </c>
      <c r="T5" s="11">
        <f t="shared" si="0"/>
        <v>6</v>
      </c>
      <c r="U5" s="11">
        <f t="shared" si="0"/>
        <v>83616.585731250016</v>
      </c>
      <c r="V5" s="11">
        <f t="shared" si="0"/>
        <v>79620</v>
      </c>
      <c r="W5" s="11">
        <f t="shared" si="0"/>
        <v>79620</v>
      </c>
      <c r="X5" s="11">
        <f t="shared" si="0"/>
        <v>0</v>
      </c>
      <c r="Y5" s="11">
        <f t="shared" ref="Y5" si="1">Y4</f>
        <v>79620</v>
      </c>
      <c r="Z5" s="22">
        <f>V5*12/U5</f>
        <v>11.426441197573599</v>
      </c>
    </row>
  </sheetData>
  <mergeCells count="1">
    <mergeCell ref="B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ЦОДУК</vt:lpstr>
      <vt:lpstr>культура</vt:lpstr>
      <vt:lpstr>образов</vt:lpstr>
      <vt:lpstr>ЦТО</vt:lpstr>
      <vt:lpstr>СШ</vt:lpstr>
      <vt:lpstr>МСКУ</vt:lpstr>
      <vt:lpstr>СШ!Область_печати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Герасянова</dc:creator>
  <cp:lastModifiedBy>Кочанова Марина Александровна</cp:lastModifiedBy>
  <cp:lastPrinted>2026-07-28T06:32:03Z</cp:lastPrinted>
  <dcterms:created xsi:type="dcterms:W3CDTF">2014-12-08T03:46:19Z</dcterms:created>
  <dcterms:modified xsi:type="dcterms:W3CDTF">2026-07-30T07:50:42Z</dcterms:modified>
</cp:coreProperties>
</file>